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nami\Desktop\Appendix\計算例\"/>
    </mc:Choice>
  </mc:AlternateContent>
  <bookViews>
    <workbookView xWindow="11550" yWindow="435" windowWidth="15330" windowHeight="15945" tabRatio="741" firstSheet="9" activeTab="16"/>
  </bookViews>
  <sheets>
    <sheet name="Ｆ分布" sheetId="2" r:id="rId1"/>
    <sheet name="§6_χ2分布表" sheetId="5" r:id="rId2"/>
    <sheet name="§6_母分散の区間推定" sheetId="13" r:id="rId3"/>
    <sheet name="図7.1" sheetId="19" r:id="rId4"/>
    <sheet name="§7.b_Pr(X≦4)" sheetId="7" r:id="rId5"/>
    <sheet name="表7.2" sheetId="8" r:id="rId6"/>
    <sheet name="§7.e_本文中の表" sheetId="11" r:id="rId7"/>
    <sheet name="§7.e__&amp;_§8.d_正確検定" sheetId="9" r:id="rId8"/>
    <sheet name="§7.f_&amp;_§8.e_近似検定" sheetId="10" r:id="rId9"/>
    <sheet name="図8.2" sheetId="12" r:id="rId10"/>
    <sheet name="§9 可能解の個数" sheetId="25" r:id="rId11"/>
    <sheet name="§10_Fisher" sheetId="18" r:id="rId12"/>
    <sheet name="表10.1_mid_p" sheetId="20" r:id="rId13"/>
    <sheet name="§11_四分表の近似検定" sheetId="23" r:id="rId14"/>
    <sheet name="§11_四分表の近似検定_B" sheetId="17" r:id="rId15"/>
    <sheet name="§11_四分表の正確検定" sheetId="26" r:id="rId16"/>
    <sheet name="表12.1" sheetId="22" r:id="rId17"/>
  </sheets>
  <calcPr calcId="152511"/>
</workbook>
</file>

<file path=xl/calcChain.xml><?xml version="1.0" encoding="utf-8"?>
<calcChain xmlns="http://schemas.openxmlformats.org/spreadsheetml/2006/main">
  <c r="E11" i="10" l="1"/>
  <c r="M16" i="26" l="1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15" i="26"/>
  <c r="P22" i="26"/>
  <c r="P23" i="26" s="1"/>
  <c r="P6" i="26"/>
  <c r="P7" i="26" s="1"/>
  <c r="E8" i="25"/>
  <c r="M529" i="9"/>
  <c r="N529" i="9" s="1"/>
  <c r="M531" i="9"/>
  <c r="N531" i="9" s="1"/>
  <c r="M530" i="9"/>
  <c r="N530" i="9" s="1"/>
  <c r="M528" i="9"/>
  <c r="N528" i="9" s="1"/>
  <c r="M522" i="9"/>
  <c r="N522" i="9" s="1"/>
  <c r="M521" i="9"/>
  <c r="N521" i="9" s="1"/>
  <c r="M526" i="9"/>
  <c r="N526" i="9" s="1"/>
  <c r="M525" i="9"/>
  <c r="N525" i="9" s="1"/>
  <c r="M517" i="9"/>
  <c r="N517" i="9" s="1"/>
  <c r="M516" i="9"/>
  <c r="N516" i="9" s="1"/>
  <c r="M511" i="9"/>
  <c r="N511" i="9" s="1"/>
  <c r="M510" i="9"/>
  <c r="N510" i="9" s="1"/>
  <c r="M504" i="9"/>
  <c r="N504" i="9" s="1"/>
  <c r="M503" i="9"/>
  <c r="N503" i="9" s="1"/>
  <c r="M496" i="9"/>
  <c r="N496" i="9" s="1"/>
  <c r="M495" i="9"/>
  <c r="N495" i="9" s="1"/>
  <c r="M487" i="9"/>
  <c r="N487" i="9" s="1"/>
  <c r="M486" i="9"/>
  <c r="N486" i="9" s="1"/>
  <c r="M477" i="9"/>
  <c r="N477" i="9" s="1"/>
  <c r="M476" i="9"/>
  <c r="N476" i="9" s="1"/>
  <c r="M466" i="9"/>
  <c r="N466" i="9" s="1"/>
  <c r="M465" i="9"/>
  <c r="N465" i="9" s="1"/>
  <c r="M454" i="9"/>
  <c r="N454" i="9" s="1"/>
  <c r="M453" i="9"/>
  <c r="N453" i="9" s="1"/>
  <c r="M441" i="9"/>
  <c r="N441" i="9" s="1"/>
  <c r="M440" i="9"/>
  <c r="N440" i="9" s="1"/>
  <c r="M427" i="9"/>
  <c r="N427" i="9" s="1"/>
  <c r="M426" i="9"/>
  <c r="N426" i="9" s="1"/>
  <c r="M412" i="9"/>
  <c r="N412" i="9" s="1"/>
  <c r="M411" i="9"/>
  <c r="N411" i="9" s="1"/>
  <c r="M396" i="9"/>
  <c r="N396" i="9" s="1"/>
  <c r="M395" i="9"/>
  <c r="N395" i="9" s="1"/>
  <c r="M379" i="9"/>
  <c r="N379" i="9" s="1"/>
  <c r="M378" i="9"/>
  <c r="N378" i="9" s="1"/>
  <c r="M361" i="9"/>
  <c r="N361" i="9" s="1"/>
  <c r="M360" i="9"/>
  <c r="N360" i="9" s="1"/>
  <c r="M342" i="9"/>
  <c r="N342" i="9" s="1"/>
  <c r="M341" i="9"/>
  <c r="N341" i="9" s="1"/>
  <c r="M322" i="9"/>
  <c r="N322" i="9" s="1"/>
  <c r="M321" i="9"/>
  <c r="N321" i="9" s="1"/>
  <c r="M301" i="9"/>
  <c r="N301" i="9" s="1"/>
  <c r="M300" i="9"/>
  <c r="N300" i="9" s="1"/>
  <c r="M279" i="9"/>
  <c r="N279" i="9" s="1"/>
  <c r="M278" i="9"/>
  <c r="N278" i="9" s="1"/>
  <c r="M256" i="9"/>
  <c r="N256" i="9" s="1"/>
  <c r="M255" i="9"/>
  <c r="N255" i="9" s="1"/>
  <c r="M232" i="9"/>
  <c r="N232" i="9" s="1"/>
  <c r="M231" i="9"/>
  <c r="N231" i="9" s="1"/>
  <c r="M207" i="9"/>
  <c r="N207" i="9" s="1"/>
  <c r="M206" i="9"/>
  <c r="N206" i="9" s="1"/>
  <c r="M181" i="9"/>
  <c r="N181" i="9" s="1"/>
  <c r="M180" i="9"/>
  <c r="N180" i="9" s="1"/>
  <c r="M154" i="9"/>
  <c r="N154" i="9" s="1"/>
  <c r="M153" i="9"/>
  <c r="N153" i="9" s="1"/>
  <c r="M126" i="9"/>
  <c r="N126" i="9" s="1"/>
  <c r="M125" i="9"/>
  <c r="N125" i="9" s="1"/>
  <c r="M97" i="9"/>
  <c r="N97" i="9" s="1"/>
  <c r="M96" i="9"/>
  <c r="N96" i="9" s="1"/>
  <c r="R10" i="26" l="1"/>
  <c r="P10" i="26"/>
  <c r="P15" i="26" s="1"/>
  <c r="S10" i="26" l="1"/>
  <c r="R15" i="26"/>
  <c r="R11" i="26"/>
  <c r="R12" i="26" s="1"/>
  <c r="R13" i="26" s="1"/>
  <c r="Q10" i="26"/>
  <c r="P11" i="26"/>
  <c r="P12" i="26" s="1"/>
  <c r="P13" i="26" s="1"/>
  <c r="S11" i="26" l="1"/>
  <c r="S12" i="26" s="1"/>
  <c r="S13" i="26" s="1"/>
  <c r="P17" i="26" s="1"/>
  <c r="S15" i="26"/>
  <c r="Q11" i="26"/>
  <c r="Q12" i="26" s="1"/>
  <c r="Q13" i="26" s="1"/>
  <c r="Q15" i="26"/>
  <c r="P19" i="26" s="1"/>
  <c r="P20" i="26" s="1"/>
  <c r="E30" i="9" l="1"/>
  <c r="M19" i="20" l="1"/>
  <c r="M18" i="20"/>
  <c r="M17" i="20"/>
  <c r="M16" i="20"/>
  <c r="M15" i="20"/>
  <c r="M14" i="20"/>
  <c r="M13" i="20"/>
  <c r="D17" i="18" l="1"/>
  <c r="D18" i="18"/>
  <c r="D19" i="18"/>
  <c r="D20" i="18"/>
  <c r="D21" i="18"/>
  <c r="D22" i="18"/>
  <c r="E22" i="18" s="1"/>
  <c r="D16" i="18"/>
  <c r="E21" i="18" l="1"/>
  <c r="E20" i="18"/>
  <c r="D23" i="18"/>
  <c r="N24" i="9"/>
  <c r="M24" i="9"/>
  <c r="L24" i="9"/>
  <c r="M67" i="9"/>
  <c r="N67" i="9" s="1"/>
  <c r="M66" i="9"/>
  <c r="N66" i="9" s="1"/>
  <c r="M38" i="9"/>
  <c r="N38" i="9" s="1"/>
  <c r="M39" i="9"/>
  <c r="N39" i="9" s="1"/>
  <c r="M40" i="9"/>
  <c r="N40" i="9" s="1"/>
  <c r="M41" i="9"/>
  <c r="N41" i="9" s="1"/>
  <c r="M42" i="9"/>
  <c r="N42" i="9" s="1"/>
  <c r="M43" i="9"/>
  <c r="N43" i="9" s="1"/>
  <c r="M44" i="9"/>
  <c r="N44" i="9" s="1"/>
  <c r="M45" i="9"/>
  <c r="N45" i="9" s="1"/>
  <c r="M46" i="9"/>
  <c r="N46" i="9" s="1"/>
  <c r="M47" i="9"/>
  <c r="N47" i="9" s="1"/>
  <c r="M48" i="9"/>
  <c r="N48" i="9" s="1"/>
  <c r="M49" i="9"/>
  <c r="N49" i="9" s="1"/>
  <c r="M50" i="9"/>
  <c r="N50" i="9" s="1"/>
  <c r="M51" i="9"/>
  <c r="N51" i="9" s="1"/>
  <c r="M52" i="9"/>
  <c r="N52" i="9" s="1"/>
  <c r="M53" i="9"/>
  <c r="N53" i="9" s="1"/>
  <c r="M54" i="9"/>
  <c r="N54" i="9" s="1"/>
  <c r="M55" i="9"/>
  <c r="N55" i="9" s="1"/>
  <c r="M56" i="9"/>
  <c r="N56" i="9" s="1"/>
  <c r="M57" i="9"/>
  <c r="N57" i="9" s="1"/>
  <c r="M58" i="9"/>
  <c r="N58" i="9" s="1"/>
  <c r="M59" i="9"/>
  <c r="N59" i="9" s="1"/>
  <c r="M60" i="9"/>
  <c r="N60" i="9" s="1"/>
  <c r="M61" i="9"/>
  <c r="N61" i="9" s="1"/>
  <c r="M62" i="9"/>
  <c r="N62" i="9" s="1"/>
  <c r="M63" i="9"/>
  <c r="N63" i="9" s="1"/>
  <c r="M64" i="9"/>
  <c r="N64" i="9" s="1"/>
  <c r="M65" i="9"/>
  <c r="N65" i="9" s="1"/>
  <c r="M37" i="9"/>
  <c r="N37" i="9" s="1"/>
  <c r="M36" i="9"/>
  <c r="N36" i="9" s="1"/>
  <c r="M68" i="9"/>
  <c r="N68" i="9" s="1"/>
  <c r="M69" i="9"/>
  <c r="N69" i="9" s="1"/>
  <c r="M70" i="9"/>
  <c r="N70" i="9" s="1"/>
  <c r="M71" i="9"/>
  <c r="N71" i="9" s="1"/>
  <c r="M72" i="9"/>
  <c r="N72" i="9" s="1"/>
  <c r="M73" i="9"/>
  <c r="N73" i="9" s="1"/>
  <c r="M74" i="9"/>
  <c r="N74" i="9" s="1"/>
  <c r="M75" i="9"/>
  <c r="N75" i="9" s="1"/>
  <c r="M76" i="9"/>
  <c r="N76" i="9" s="1"/>
  <c r="M77" i="9"/>
  <c r="N77" i="9" s="1"/>
  <c r="M78" i="9"/>
  <c r="N78" i="9" s="1"/>
  <c r="M79" i="9"/>
  <c r="N79" i="9" s="1"/>
  <c r="M80" i="9"/>
  <c r="N80" i="9" s="1"/>
  <c r="M81" i="9"/>
  <c r="N81" i="9" s="1"/>
  <c r="M82" i="9"/>
  <c r="N82" i="9" s="1"/>
  <c r="M83" i="9"/>
  <c r="N83" i="9" s="1"/>
  <c r="M84" i="9"/>
  <c r="N84" i="9" s="1"/>
  <c r="M85" i="9"/>
  <c r="N85" i="9" s="1"/>
  <c r="M86" i="9"/>
  <c r="N86" i="9" s="1"/>
  <c r="M87" i="9"/>
  <c r="N87" i="9" s="1"/>
  <c r="M88" i="9"/>
  <c r="N88" i="9" s="1"/>
  <c r="M89" i="9"/>
  <c r="N89" i="9" s="1"/>
  <c r="M90" i="9"/>
  <c r="N90" i="9" s="1"/>
  <c r="M91" i="9"/>
  <c r="N91" i="9" s="1"/>
  <c r="M92" i="9"/>
  <c r="N92" i="9" s="1"/>
  <c r="M93" i="9"/>
  <c r="N93" i="9" s="1"/>
  <c r="M94" i="9"/>
  <c r="N94" i="9" s="1"/>
  <c r="M95" i="9"/>
  <c r="N95" i="9" s="1"/>
  <c r="M98" i="9"/>
  <c r="N98" i="9" s="1"/>
  <c r="M99" i="9"/>
  <c r="N99" i="9" s="1"/>
  <c r="M100" i="9"/>
  <c r="N100" i="9" s="1"/>
  <c r="M101" i="9"/>
  <c r="N101" i="9" s="1"/>
  <c r="M102" i="9"/>
  <c r="N102" i="9" s="1"/>
  <c r="M103" i="9"/>
  <c r="N103" i="9" s="1"/>
  <c r="M104" i="9"/>
  <c r="N104" i="9" s="1"/>
  <c r="M105" i="9"/>
  <c r="N105" i="9" s="1"/>
  <c r="M106" i="9"/>
  <c r="N106" i="9" s="1"/>
  <c r="M107" i="9"/>
  <c r="N107" i="9" s="1"/>
  <c r="M108" i="9"/>
  <c r="N108" i="9" s="1"/>
  <c r="M109" i="9"/>
  <c r="N109" i="9" s="1"/>
  <c r="M110" i="9"/>
  <c r="N110" i="9" s="1"/>
  <c r="M111" i="9"/>
  <c r="N111" i="9" s="1"/>
  <c r="M112" i="9"/>
  <c r="N112" i="9" s="1"/>
  <c r="M113" i="9"/>
  <c r="N113" i="9" s="1"/>
  <c r="M114" i="9"/>
  <c r="N114" i="9" s="1"/>
  <c r="M115" i="9"/>
  <c r="N115" i="9" s="1"/>
  <c r="M116" i="9"/>
  <c r="N116" i="9" s="1"/>
  <c r="M117" i="9"/>
  <c r="N117" i="9" s="1"/>
  <c r="M118" i="9"/>
  <c r="N118" i="9" s="1"/>
  <c r="M119" i="9"/>
  <c r="N119" i="9" s="1"/>
  <c r="M120" i="9"/>
  <c r="N120" i="9" s="1"/>
  <c r="M121" i="9"/>
  <c r="N121" i="9" s="1"/>
  <c r="M122" i="9"/>
  <c r="N122" i="9" s="1"/>
  <c r="M123" i="9"/>
  <c r="N123" i="9" s="1"/>
  <c r="M124" i="9"/>
  <c r="N124" i="9" s="1"/>
  <c r="M127" i="9"/>
  <c r="N127" i="9" s="1"/>
  <c r="M128" i="9"/>
  <c r="N128" i="9" s="1"/>
  <c r="M129" i="9"/>
  <c r="N129" i="9" s="1"/>
  <c r="M130" i="9"/>
  <c r="N130" i="9" s="1"/>
  <c r="M131" i="9"/>
  <c r="N131" i="9" s="1"/>
  <c r="M132" i="9"/>
  <c r="N132" i="9" s="1"/>
  <c r="M133" i="9"/>
  <c r="N133" i="9" s="1"/>
  <c r="M134" i="9"/>
  <c r="N134" i="9" s="1"/>
  <c r="M135" i="9"/>
  <c r="N135" i="9" s="1"/>
  <c r="M136" i="9"/>
  <c r="N136" i="9" s="1"/>
  <c r="M137" i="9"/>
  <c r="N137" i="9" s="1"/>
  <c r="M138" i="9"/>
  <c r="N138" i="9" s="1"/>
  <c r="M139" i="9"/>
  <c r="N139" i="9" s="1"/>
  <c r="M140" i="9"/>
  <c r="N140" i="9" s="1"/>
  <c r="M141" i="9"/>
  <c r="N141" i="9" s="1"/>
  <c r="M142" i="9"/>
  <c r="N142" i="9" s="1"/>
  <c r="M143" i="9"/>
  <c r="N143" i="9" s="1"/>
  <c r="M144" i="9"/>
  <c r="N144" i="9" s="1"/>
  <c r="M145" i="9"/>
  <c r="N145" i="9" s="1"/>
  <c r="M146" i="9"/>
  <c r="N146" i="9" s="1"/>
  <c r="M147" i="9"/>
  <c r="N147" i="9" s="1"/>
  <c r="M148" i="9"/>
  <c r="N148" i="9" s="1"/>
  <c r="M149" i="9"/>
  <c r="N149" i="9" s="1"/>
  <c r="M150" i="9"/>
  <c r="N150" i="9" s="1"/>
  <c r="M151" i="9"/>
  <c r="N151" i="9" s="1"/>
  <c r="M152" i="9"/>
  <c r="N152" i="9" s="1"/>
  <c r="M155" i="9"/>
  <c r="N155" i="9" s="1"/>
  <c r="M156" i="9"/>
  <c r="N156" i="9" s="1"/>
  <c r="M157" i="9"/>
  <c r="N157" i="9" s="1"/>
  <c r="M158" i="9"/>
  <c r="N158" i="9" s="1"/>
  <c r="M159" i="9"/>
  <c r="N159" i="9" s="1"/>
  <c r="M160" i="9"/>
  <c r="N160" i="9" s="1"/>
  <c r="M161" i="9"/>
  <c r="N161" i="9" s="1"/>
  <c r="M162" i="9"/>
  <c r="N162" i="9" s="1"/>
  <c r="M163" i="9"/>
  <c r="N163" i="9" s="1"/>
  <c r="M164" i="9"/>
  <c r="N164" i="9" s="1"/>
  <c r="M165" i="9"/>
  <c r="N165" i="9" s="1"/>
  <c r="M166" i="9"/>
  <c r="N166" i="9" s="1"/>
  <c r="M167" i="9"/>
  <c r="N167" i="9" s="1"/>
  <c r="M168" i="9"/>
  <c r="N168" i="9" s="1"/>
  <c r="M169" i="9"/>
  <c r="N169" i="9" s="1"/>
  <c r="M170" i="9"/>
  <c r="N170" i="9" s="1"/>
  <c r="M171" i="9"/>
  <c r="N171" i="9" s="1"/>
  <c r="M172" i="9"/>
  <c r="N172" i="9" s="1"/>
  <c r="M173" i="9"/>
  <c r="N173" i="9" s="1"/>
  <c r="M174" i="9"/>
  <c r="N174" i="9" s="1"/>
  <c r="M175" i="9"/>
  <c r="N175" i="9" s="1"/>
  <c r="M176" i="9"/>
  <c r="N176" i="9" s="1"/>
  <c r="M177" i="9"/>
  <c r="N177" i="9" s="1"/>
  <c r="M178" i="9"/>
  <c r="N178" i="9" s="1"/>
  <c r="M179" i="9"/>
  <c r="N179" i="9" s="1"/>
  <c r="M182" i="9"/>
  <c r="N182" i="9" s="1"/>
  <c r="M183" i="9"/>
  <c r="N183" i="9" s="1"/>
  <c r="M184" i="9"/>
  <c r="N184" i="9" s="1"/>
  <c r="M185" i="9"/>
  <c r="N185" i="9" s="1"/>
  <c r="M186" i="9"/>
  <c r="N186" i="9" s="1"/>
  <c r="M187" i="9"/>
  <c r="N187" i="9" s="1"/>
  <c r="M188" i="9"/>
  <c r="N188" i="9" s="1"/>
  <c r="M189" i="9"/>
  <c r="N189" i="9" s="1"/>
  <c r="M190" i="9"/>
  <c r="N190" i="9" s="1"/>
  <c r="M191" i="9"/>
  <c r="N191" i="9" s="1"/>
  <c r="M192" i="9"/>
  <c r="N192" i="9" s="1"/>
  <c r="M193" i="9"/>
  <c r="N193" i="9" s="1"/>
  <c r="M194" i="9"/>
  <c r="N194" i="9" s="1"/>
  <c r="M195" i="9"/>
  <c r="N195" i="9" s="1"/>
  <c r="M196" i="9"/>
  <c r="N196" i="9" s="1"/>
  <c r="M197" i="9"/>
  <c r="N197" i="9" s="1"/>
  <c r="M198" i="9"/>
  <c r="N198" i="9" s="1"/>
  <c r="M199" i="9"/>
  <c r="N199" i="9" s="1"/>
  <c r="M200" i="9"/>
  <c r="N200" i="9" s="1"/>
  <c r="M201" i="9"/>
  <c r="N201" i="9" s="1"/>
  <c r="M202" i="9"/>
  <c r="N202" i="9" s="1"/>
  <c r="M203" i="9"/>
  <c r="N203" i="9" s="1"/>
  <c r="M204" i="9"/>
  <c r="N204" i="9" s="1"/>
  <c r="M205" i="9"/>
  <c r="N205" i="9" s="1"/>
  <c r="M208" i="9"/>
  <c r="N208" i="9" s="1"/>
  <c r="M209" i="9"/>
  <c r="N209" i="9" s="1"/>
  <c r="M210" i="9"/>
  <c r="N210" i="9" s="1"/>
  <c r="M211" i="9"/>
  <c r="N211" i="9" s="1"/>
  <c r="M212" i="9"/>
  <c r="N212" i="9" s="1"/>
  <c r="M213" i="9"/>
  <c r="N213" i="9" s="1"/>
  <c r="M214" i="9"/>
  <c r="N214" i="9" s="1"/>
  <c r="M215" i="9"/>
  <c r="N215" i="9" s="1"/>
  <c r="M216" i="9"/>
  <c r="N216" i="9" s="1"/>
  <c r="M217" i="9"/>
  <c r="N217" i="9" s="1"/>
  <c r="M218" i="9"/>
  <c r="N218" i="9" s="1"/>
  <c r="M219" i="9"/>
  <c r="N219" i="9" s="1"/>
  <c r="M220" i="9"/>
  <c r="N220" i="9" s="1"/>
  <c r="M221" i="9"/>
  <c r="N221" i="9" s="1"/>
  <c r="M222" i="9"/>
  <c r="N222" i="9" s="1"/>
  <c r="M223" i="9"/>
  <c r="N223" i="9" s="1"/>
  <c r="M224" i="9"/>
  <c r="N224" i="9" s="1"/>
  <c r="M225" i="9"/>
  <c r="N225" i="9" s="1"/>
  <c r="M226" i="9"/>
  <c r="N226" i="9" s="1"/>
  <c r="M227" i="9"/>
  <c r="N227" i="9" s="1"/>
  <c r="M228" i="9"/>
  <c r="N228" i="9" s="1"/>
  <c r="M229" i="9"/>
  <c r="N229" i="9" s="1"/>
  <c r="M230" i="9"/>
  <c r="N230" i="9" s="1"/>
  <c r="M233" i="9"/>
  <c r="N233" i="9" s="1"/>
  <c r="M234" i="9"/>
  <c r="N234" i="9" s="1"/>
  <c r="M235" i="9"/>
  <c r="N235" i="9" s="1"/>
  <c r="M236" i="9"/>
  <c r="N236" i="9" s="1"/>
  <c r="M237" i="9"/>
  <c r="N237" i="9" s="1"/>
  <c r="M238" i="9"/>
  <c r="N238" i="9" s="1"/>
  <c r="M239" i="9"/>
  <c r="N239" i="9" s="1"/>
  <c r="M240" i="9"/>
  <c r="N240" i="9" s="1"/>
  <c r="M241" i="9"/>
  <c r="N241" i="9" s="1"/>
  <c r="M242" i="9"/>
  <c r="N242" i="9" s="1"/>
  <c r="M243" i="9"/>
  <c r="N243" i="9" s="1"/>
  <c r="M244" i="9"/>
  <c r="N244" i="9" s="1"/>
  <c r="M245" i="9"/>
  <c r="N245" i="9" s="1"/>
  <c r="M246" i="9"/>
  <c r="N246" i="9" s="1"/>
  <c r="M247" i="9"/>
  <c r="N247" i="9" s="1"/>
  <c r="M248" i="9"/>
  <c r="N248" i="9" s="1"/>
  <c r="M249" i="9"/>
  <c r="N249" i="9" s="1"/>
  <c r="M250" i="9"/>
  <c r="N250" i="9" s="1"/>
  <c r="M251" i="9"/>
  <c r="N251" i="9" s="1"/>
  <c r="M252" i="9"/>
  <c r="N252" i="9" s="1"/>
  <c r="M253" i="9"/>
  <c r="N253" i="9" s="1"/>
  <c r="M254" i="9"/>
  <c r="N254" i="9" s="1"/>
  <c r="M257" i="9"/>
  <c r="N257" i="9" s="1"/>
  <c r="M258" i="9"/>
  <c r="N258" i="9" s="1"/>
  <c r="M259" i="9"/>
  <c r="N259" i="9" s="1"/>
  <c r="M260" i="9"/>
  <c r="N260" i="9" s="1"/>
  <c r="M261" i="9"/>
  <c r="N261" i="9" s="1"/>
  <c r="M262" i="9"/>
  <c r="N262" i="9" s="1"/>
  <c r="M263" i="9"/>
  <c r="N263" i="9" s="1"/>
  <c r="M264" i="9"/>
  <c r="N264" i="9" s="1"/>
  <c r="M265" i="9"/>
  <c r="N265" i="9" s="1"/>
  <c r="M266" i="9"/>
  <c r="N266" i="9" s="1"/>
  <c r="M267" i="9"/>
  <c r="N267" i="9" s="1"/>
  <c r="M268" i="9"/>
  <c r="N268" i="9" s="1"/>
  <c r="M269" i="9"/>
  <c r="N269" i="9" s="1"/>
  <c r="M270" i="9"/>
  <c r="N270" i="9" s="1"/>
  <c r="M271" i="9"/>
  <c r="N271" i="9" s="1"/>
  <c r="M272" i="9"/>
  <c r="N272" i="9" s="1"/>
  <c r="M273" i="9"/>
  <c r="N273" i="9" s="1"/>
  <c r="M274" i="9"/>
  <c r="N274" i="9" s="1"/>
  <c r="M275" i="9"/>
  <c r="N275" i="9" s="1"/>
  <c r="M276" i="9"/>
  <c r="N276" i="9" s="1"/>
  <c r="M277" i="9"/>
  <c r="N277" i="9" s="1"/>
  <c r="M280" i="9"/>
  <c r="N280" i="9" s="1"/>
  <c r="M281" i="9"/>
  <c r="N281" i="9" s="1"/>
  <c r="M282" i="9"/>
  <c r="N282" i="9" s="1"/>
  <c r="M283" i="9"/>
  <c r="N283" i="9" s="1"/>
  <c r="M284" i="9"/>
  <c r="N284" i="9" s="1"/>
  <c r="M285" i="9"/>
  <c r="N285" i="9" s="1"/>
  <c r="M286" i="9"/>
  <c r="N286" i="9" s="1"/>
  <c r="M287" i="9"/>
  <c r="N287" i="9" s="1"/>
  <c r="M288" i="9"/>
  <c r="N288" i="9" s="1"/>
  <c r="M289" i="9"/>
  <c r="N289" i="9" s="1"/>
  <c r="M290" i="9"/>
  <c r="N290" i="9" s="1"/>
  <c r="M291" i="9"/>
  <c r="N291" i="9" s="1"/>
  <c r="M292" i="9"/>
  <c r="N292" i="9" s="1"/>
  <c r="M293" i="9"/>
  <c r="N293" i="9" s="1"/>
  <c r="M294" i="9"/>
  <c r="N294" i="9" s="1"/>
  <c r="M295" i="9"/>
  <c r="N295" i="9" s="1"/>
  <c r="M296" i="9"/>
  <c r="N296" i="9" s="1"/>
  <c r="M297" i="9"/>
  <c r="N297" i="9" s="1"/>
  <c r="M298" i="9"/>
  <c r="N298" i="9" s="1"/>
  <c r="M299" i="9"/>
  <c r="N299" i="9" s="1"/>
  <c r="M302" i="9"/>
  <c r="N302" i="9" s="1"/>
  <c r="M303" i="9"/>
  <c r="N303" i="9" s="1"/>
  <c r="M304" i="9"/>
  <c r="N304" i="9" s="1"/>
  <c r="M305" i="9"/>
  <c r="N305" i="9" s="1"/>
  <c r="M306" i="9"/>
  <c r="N306" i="9" s="1"/>
  <c r="M307" i="9"/>
  <c r="N307" i="9" s="1"/>
  <c r="M308" i="9"/>
  <c r="N308" i="9" s="1"/>
  <c r="M309" i="9"/>
  <c r="N309" i="9" s="1"/>
  <c r="M310" i="9"/>
  <c r="N310" i="9" s="1"/>
  <c r="M311" i="9"/>
  <c r="N311" i="9" s="1"/>
  <c r="M312" i="9"/>
  <c r="N312" i="9" s="1"/>
  <c r="M313" i="9"/>
  <c r="N313" i="9" s="1"/>
  <c r="M314" i="9"/>
  <c r="N314" i="9" s="1"/>
  <c r="M315" i="9"/>
  <c r="N315" i="9" s="1"/>
  <c r="M316" i="9"/>
  <c r="N316" i="9" s="1"/>
  <c r="M317" i="9"/>
  <c r="N317" i="9" s="1"/>
  <c r="M318" i="9"/>
  <c r="N318" i="9" s="1"/>
  <c r="M319" i="9"/>
  <c r="N319" i="9" s="1"/>
  <c r="M320" i="9"/>
  <c r="N320" i="9" s="1"/>
  <c r="M323" i="9"/>
  <c r="N323" i="9" s="1"/>
  <c r="M324" i="9"/>
  <c r="N324" i="9" s="1"/>
  <c r="M325" i="9"/>
  <c r="N325" i="9" s="1"/>
  <c r="M326" i="9"/>
  <c r="N326" i="9" s="1"/>
  <c r="M327" i="9"/>
  <c r="N327" i="9" s="1"/>
  <c r="M328" i="9"/>
  <c r="N328" i="9" s="1"/>
  <c r="M329" i="9"/>
  <c r="N329" i="9" s="1"/>
  <c r="M330" i="9"/>
  <c r="N330" i="9" s="1"/>
  <c r="M331" i="9"/>
  <c r="N331" i="9" s="1"/>
  <c r="M332" i="9"/>
  <c r="N332" i="9" s="1"/>
  <c r="M333" i="9"/>
  <c r="N333" i="9" s="1"/>
  <c r="M334" i="9"/>
  <c r="N334" i="9" s="1"/>
  <c r="M335" i="9"/>
  <c r="N335" i="9" s="1"/>
  <c r="M336" i="9"/>
  <c r="N336" i="9" s="1"/>
  <c r="M337" i="9"/>
  <c r="N337" i="9" s="1"/>
  <c r="M338" i="9"/>
  <c r="N338" i="9" s="1"/>
  <c r="M339" i="9"/>
  <c r="N339" i="9" s="1"/>
  <c r="M340" i="9"/>
  <c r="N340" i="9" s="1"/>
  <c r="M343" i="9"/>
  <c r="N343" i="9" s="1"/>
  <c r="M344" i="9"/>
  <c r="N344" i="9" s="1"/>
  <c r="M345" i="9"/>
  <c r="N345" i="9" s="1"/>
  <c r="M346" i="9"/>
  <c r="N346" i="9" s="1"/>
  <c r="M347" i="9"/>
  <c r="N347" i="9" s="1"/>
  <c r="M348" i="9"/>
  <c r="N348" i="9" s="1"/>
  <c r="M349" i="9"/>
  <c r="N349" i="9" s="1"/>
  <c r="M350" i="9"/>
  <c r="N350" i="9" s="1"/>
  <c r="M351" i="9"/>
  <c r="N351" i="9" s="1"/>
  <c r="M352" i="9"/>
  <c r="N352" i="9" s="1"/>
  <c r="M353" i="9"/>
  <c r="N353" i="9" s="1"/>
  <c r="M354" i="9"/>
  <c r="N354" i="9" s="1"/>
  <c r="M355" i="9"/>
  <c r="N355" i="9" s="1"/>
  <c r="M356" i="9"/>
  <c r="N356" i="9" s="1"/>
  <c r="M357" i="9"/>
  <c r="N357" i="9" s="1"/>
  <c r="M358" i="9"/>
  <c r="N358" i="9" s="1"/>
  <c r="M359" i="9"/>
  <c r="N359" i="9" s="1"/>
  <c r="M362" i="9"/>
  <c r="N362" i="9" s="1"/>
  <c r="M363" i="9"/>
  <c r="N363" i="9" s="1"/>
  <c r="M364" i="9"/>
  <c r="N364" i="9" s="1"/>
  <c r="M365" i="9"/>
  <c r="N365" i="9" s="1"/>
  <c r="M366" i="9"/>
  <c r="N366" i="9" s="1"/>
  <c r="M367" i="9"/>
  <c r="N367" i="9" s="1"/>
  <c r="M368" i="9"/>
  <c r="N368" i="9" s="1"/>
  <c r="M369" i="9"/>
  <c r="N369" i="9" s="1"/>
  <c r="M370" i="9"/>
  <c r="N370" i="9" s="1"/>
  <c r="M371" i="9"/>
  <c r="N371" i="9" s="1"/>
  <c r="M372" i="9"/>
  <c r="N372" i="9" s="1"/>
  <c r="M373" i="9"/>
  <c r="N373" i="9" s="1"/>
  <c r="M374" i="9"/>
  <c r="N374" i="9" s="1"/>
  <c r="M375" i="9"/>
  <c r="N375" i="9" s="1"/>
  <c r="M376" i="9"/>
  <c r="N376" i="9" s="1"/>
  <c r="M377" i="9"/>
  <c r="N377" i="9" s="1"/>
  <c r="M380" i="9"/>
  <c r="N380" i="9" s="1"/>
  <c r="M381" i="9"/>
  <c r="N381" i="9" s="1"/>
  <c r="M382" i="9"/>
  <c r="N382" i="9" s="1"/>
  <c r="M383" i="9"/>
  <c r="N383" i="9" s="1"/>
  <c r="M384" i="9"/>
  <c r="N384" i="9" s="1"/>
  <c r="M385" i="9"/>
  <c r="N385" i="9" s="1"/>
  <c r="M386" i="9"/>
  <c r="N386" i="9" s="1"/>
  <c r="M387" i="9"/>
  <c r="N387" i="9" s="1"/>
  <c r="M388" i="9"/>
  <c r="N388" i="9" s="1"/>
  <c r="M389" i="9"/>
  <c r="N389" i="9" s="1"/>
  <c r="M390" i="9"/>
  <c r="N390" i="9" s="1"/>
  <c r="M391" i="9"/>
  <c r="N391" i="9" s="1"/>
  <c r="M392" i="9"/>
  <c r="N392" i="9" s="1"/>
  <c r="M393" i="9"/>
  <c r="N393" i="9" s="1"/>
  <c r="M394" i="9"/>
  <c r="N394" i="9" s="1"/>
  <c r="M397" i="9"/>
  <c r="N397" i="9" s="1"/>
  <c r="M398" i="9"/>
  <c r="N398" i="9" s="1"/>
  <c r="M399" i="9"/>
  <c r="N399" i="9" s="1"/>
  <c r="M400" i="9"/>
  <c r="N400" i="9" s="1"/>
  <c r="M401" i="9"/>
  <c r="N401" i="9" s="1"/>
  <c r="M402" i="9"/>
  <c r="N402" i="9" s="1"/>
  <c r="M403" i="9"/>
  <c r="N403" i="9" s="1"/>
  <c r="M404" i="9"/>
  <c r="N404" i="9" s="1"/>
  <c r="M405" i="9"/>
  <c r="N405" i="9" s="1"/>
  <c r="M406" i="9"/>
  <c r="N406" i="9" s="1"/>
  <c r="M407" i="9"/>
  <c r="N407" i="9" s="1"/>
  <c r="M408" i="9"/>
  <c r="N408" i="9" s="1"/>
  <c r="M409" i="9"/>
  <c r="N409" i="9" s="1"/>
  <c r="M410" i="9"/>
  <c r="N410" i="9" s="1"/>
  <c r="M413" i="9"/>
  <c r="N413" i="9" s="1"/>
  <c r="M414" i="9"/>
  <c r="N414" i="9" s="1"/>
  <c r="M415" i="9"/>
  <c r="N415" i="9" s="1"/>
  <c r="M416" i="9"/>
  <c r="N416" i="9" s="1"/>
  <c r="M417" i="9"/>
  <c r="N417" i="9" s="1"/>
  <c r="M418" i="9"/>
  <c r="N418" i="9" s="1"/>
  <c r="M419" i="9"/>
  <c r="N419" i="9" s="1"/>
  <c r="M420" i="9"/>
  <c r="N420" i="9" s="1"/>
  <c r="M421" i="9"/>
  <c r="N421" i="9" s="1"/>
  <c r="M422" i="9"/>
  <c r="N422" i="9" s="1"/>
  <c r="M423" i="9"/>
  <c r="N423" i="9" s="1"/>
  <c r="M424" i="9"/>
  <c r="N424" i="9" s="1"/>
  <c r="M425" i="9"/>
  <c r="N425" i="9" s="1"/>
  <c r="M428" i="9"/>
  <c r="N428" i="9" s="1"/>
  <c r="M429" i="9"/>
  <c r="N429" i="9" s="1"/>
  <c r="M430" i="9"/>
  <c r="N430" i="9" s="1"/>
  <c r="M431" i="9"/>
  <c r="N431" i="9" s="1"/>
  <c r="M432" i="9"/>
  <c r="N432" i="9" s="1"/>
  <c r="M433" i="9"/>
  <c r="N433" i="9" s="1"/>
  <c r="M434" i="9"/>
  <c r="N434" i="9" s="1"/>
  <c r="M435" i="9"/>
  <c r="N435" i="9" s="1"/>
  <c r="M436" i="9"/>
  <c r="N436" i="9" s="1"/>
  <c r="M437" i="9"/>
  <c r="N437" i="9" s="1"/>
  <c r="M438" i="9"/>
  <c r="N438" i="9" s="1"/>
  <c r="M439" i="9"/>
  <c r="N439" i="9" s="1"/>
  <c r="M442" i="9"/>
  <c r="N442" i="9" s="1"/>
  <c r="M443" i="9"/>
  <c r="N443" i="9" s="1"/>
  <c r="M444" i="9"/>
  <c r="N444" i="9" s="1"/>
  <c r="M445" i="9"/>
  <c r="N445" i="9" s="1"/>
  <c r="M446" i="9"/>
  <c r="N446" i="9" s="1"/>
  <c r="M447" i="9"/>
  <c r="N447" i="9" s="1"/>
  <c r="M448" i="9"/>
  <c r="N448" i="9" s="1"/>
  <c r="M449" i="9"/>
  <c r="N449" i="9" s="1"/>
  <c r="M450" i="9"/>
  <c r="N450" i="9" s="1"/>
  <c r="M451" i="9"/>
  <c r="N451" i="9" s="1"/>
  <c r="M452" i="9"/>
  <c r="N452" i="9" s="1"/>
  <c r="M455" i="9"/>
  <c r="N455" i="9" s="1"/>
  <c r="M456" i="9"/>
  <c r="N456" i="9" s="1"/>
  <c r="M457" i="9"/>
  <c r="N457" i="9" s="1"/>
  <c r="M458" i="9"/>
  <c r="N458" i="9" s="1"/>
  <c r="M459" i="9"/>
  <c r="N459" i="9" s="1"/>
  <c r="M460" i="9"/>
  <c r="N460" i="9" s="1"/>
  <c r="M461" i="9"/>
  <c r="N461" i="9" s="1"/>
  <c r="M462" i="9"/>
  <c r="N462" i="9" s="1"/>
  <c r="M463" i="9"/>
  <c r="N463" i="9" s="1"/>
  <c r="M464" i="9"/>
  <c r="N464" i="9" s="1"/>
  <c r="M467" i="9"/>
  <c r="N467" i="9" s="1"/>
  <c r="M468" i="9"/>
  <c r="N468" i="9" s="1"/>
  <c r="M469" i="9"/>
  <c r="N469" i="9" s="1"/>
  <c r="M470" i="9"/>
  <c r="N470" i="9" s="1"/>
  <c r="M471" i="9"/>
  <c r="N471" i="9" s="1"/>
  <c r="M472" i="9"/>
  <c r="N472" i="9" s="1"/>
  <c r="M473" i="9"/>
  <c r="N473" i="9" s="1"/>
  <c r="M474" i="9"/>
  <c r="N474" i="9" s="1"/>
  <c r="M475" i="9"/>
  <c r="N475" i="9" s="1"/>
  <c r="M478" i="9"/>
  <c r="N478" i="9" s="1"/>
  <c r="M479" i="9"/>
  <c r="N479" i="9" s="1"/>
  <c r="M480" i="9"/>
  <c r="N480" i="9" s="1"/>
  <c r="M481" i="9"/>
  <c r="N481" i="9" s="1"/>
  <c r="M482" i="9"/>
  <c r="N482" i="9" s="1"/>
  <c r="M483" i="9"/>
  <c r="N483" i="9" s="1"/>
  <c r="M484" i="9"/>
  <c r="N484" i="9" s="1"/>
  <c r="M485" i="9"/>
  <c r="N485" i="9" s="1"/>
  <c r="M488" i="9"/>
  <c r="N488" i="9" s="1"/>
  <c r="M489" i="9"/>
  <c r="N489" i="9" s="1"/>
  <c r="M490" i="9"/>
  <c r="N490" i="9" s="1"/>
  <c r="M491" i="9"/>
  <c r="N491" i="9" s="1"/>
  <c r="M492" i="9"/>
  <c r="N492" i="9" s="1"/>
  <c r="M493" i="9"/>
  <c r="N493" i="9" s="1"/>
  <c r="M494" i="9"/>
  <c r="N494" i="9" s="1"/>
  <c r="M497" i="9"/>
  <c r="N497" i="9" s="1"/>
  <c r="M498" i="9"/>
  <c r="N498" i="9" s="1"/>
  <c r="M499" i="9"/>
  <c r="N499" i="9" s="1"/>
  <c r="M500" i="9"/>
  <c r="N500" i="9" s="1"/>
  <c r="M501" i="9"/>
  <c r="N501" i="9" s="1"/>
  <c r="M502" i="9"/>
  <c r="N502" i="9" s="1"/>
  <c r="M505" i="9"/>
  <c r="N505" i="9" s="1"/>
  <c r="M506" i="9"/>
  <c r="N506" i="9" s="1"/>
  <c r="M507" i="9"/>
  <c r="N507" i="9" s="1"/>
  <c r="M508" i="9"/>
  <c r="N508" i="9" s="1"/>
  <c r="M509" i="9"/>
  <c r="N509" i="9" s="1"/>
  <c r="M512" i="9"/>
  <c r="N512" i="9" s="1"/>
  <c r="M513" i="9"/>
  <c r="N513" i="9" s="1"/>
  <c r="M514" i="9"/>
  <c r="N514" i="9" s="1"/>
  <c r="M515" i="9"/>
  <c r="N515" i="9" s="1"/>
  <c r="M518" i="9"/>
  <c r="N518" i="9" s="1"/>
  <c r="M519" i="9"/>
  <c r="N519" i="9" s="1"/>
  <c r="M520" i="9"/>
  <c r="N520" i="9" s="1"/>
  <c r="M523" i="9"/>
  <c r="N523" i="9" s="1"/>
  <c r="M524" i="9"/>
  <c r="N524" i="9" s="1"/>
  <c r="M527" i="9"/>
  <c r="N527" i="9" s="1"/>
  <c r="D548" i="9"/>
  <c r="D54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3" i="9"/>
  <c r="H244" i="9"/>
  <c r="H245" i="9"/>
  <c r="H246" i="9"/>
  <c r="H247" i="9"/>
  <c r="H248" i="9"/>
  <c r="H249" i="9"/>
  <c r="H250" i="9"/>
  <c r="H251" i="9"/>
  <c r="H252" i="9"/>
  <c r="H253" i="9"/>
  <c r="H254" i="9"/>
  <c r="H255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1" i="9"/>
  <c r="H282" i="9"/>
  <c r="H283" i="9"/>
  <c r="H284" i="9"/>
  <c r="H285" i="9"/>
  <c r="H286" i="9"/>
  <c r="H287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1" i="9"/>
  <c r="H302" i="9"/>
  <c r="H303" i="9"/>
  <c r="H304" i="9"/>
  <c r="H305" i="9"/>
  <c r="H306" i="9"/>
  <c r="H307" i="9"/>
  <c r="H308" i="9"/>
  <c r="H309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59" i="9"/>
  <c r="H360" i="9"/>
  <c r="H361" i="9"/>
  <c r="H362" i="9"/>
  <c r="H363" i="9"/>
  <c r="H364" i="9"/>
  <c r="H365" i="9"/>
  <c r="H366" i="9"/>
  <c r="H367" i="9"/>
  <c r="H368" i="9"/>
  <c r="H369" i="9"/>
  <c r="H370" i="9"/>
  <c r="H371" i="9"/>
  <c r="H372" i="9"/>
  <c r="H373" i="9"/>
  <c r="H374" i="9"/>
  <c r="H375" i="9"/>
  <c r="H376" i="9"/>
  <c r="H377" i="9"/>
  <c r="H378" i="9"/>
  <c r="H379" i="9"/>
  <c r="H380" i="9"/>
  <c r="H381" i="9"/>
  <c r="H382" i="9"/>
  <c r="H383" i="9"/>
  <c r="H384" i="9"/>
  <c r="H385" i="9"/>
  <c r="H386" i="9"/>
  <c r="H387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2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5" i="9"/>
  <c r="H436" i="9"/>
  <c r="H437" i="9"/>
  <c r="H438" i="9"/>
  <c r="H439" i="9"/>
  <c r="H440" i="9"/>
  <c r="H441" i="9"/>
  <c r="H442" i="9"/>
  <c r="H443" i="9"/>
  <c r="H444" i="9"/>
  <c r="H445" i="9"/>
  <c r="H446" i="9"/>
  <c r="H447" i="9"/>
  <c r="H448" i="9"/>
  <c r="H449" i="9"/>
  <c r="H450" i="9"/>
  <c r="H451" i="9"/>
  <c r="H452" i="9"/>
  <c r="H453" i="9"/>
  <c r="H454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2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5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499" i="9"/>
  <c r="H500" i="9"/>
  <c r="H501" i="9"/>
  <c r="H502" i="9"/>
  <c r="H503" i="9"/>
  <c r="H504" i="9"/>
  <c r="H505" i="9"/>
  <c r="H506" i="9"/>
  <c r="H507" i="9"/>
  <c r="H508" i="9"/>
  <c r="H509" i="9"/>
  <c r="H510" i="9"/>
  <c r="H511" i="9"/>
  <c r="H512" i="9"/>
  <c r="H513" i="9"/>
  <c r="H514" i="9"/>
  <c r="H515" i="9"/>
  <c r="H516" i="9"/>
  <c r="H517" i="9"/>
  <c r="H518" i="9"/>
  <c r="H519" i="9"/>
  <c r="H520" i="9"/>
  <c r="H521" i="9"/>
  <c r="H522" i="9"/>
  <c r="H523" i="9"/>
  <c r="H524" i="9"/>
  <c r="H525" i="9"/>
  <c r="H526" i="9"/>
  <c r="H527" i="9"/>
  <c r="H528" i="9"/>
  <c r="H529" i="9"/>
  <c r="H530" i="9"/>
  <c r="H531" i="9"/>
  <c r="H36" i="9"/>
  <c r="E38" i="9"/>
  <c r="F38" i="9" s="1"/>
  <c r="E45" i="9"/>
  <c r="F45" i="9" s="1"/>
  <c r="E53" i="9"/>
  <c r="F53" i="9" s="1"/>
  <c r="E59" i="9"/>
  <c r="F59" i="9" s="1"/>
  <c r="E66" i="9"/>
  <c r="F66" i="9" s="1"/>
  <c r="E74" i="9"/>
  <c r="F74" i="9" s="1"/>
  <c r="E81" i="9"/>
  <c r="F81" i="9" s="1"/>
  <c r="E87" i="9"/>
  <c r="F87" i="9" s="1"/>
  <c r="E95" i="9"/>
  <c r="F95" i="9" s="1"/>
  <c r="E102" i="9"/>
  <c r="F102" i="9" s="1"/>
  <c r="E109" i="9"/>
  <c r="F109" i="9" s="1"/>
  <c r="E117" i="9"/>
  <c r="F117" i="9" s="1"/>
  <c r="E123" i="9"/>
  <c r="F123" i="9" s="1"/>
  <c r="E130" i="9"/>
  <c r="F130" i="9" s="1"/>
  <c r="E138" i="9"/>
  <c r="F138" i="9" s="1"/>
  <c r="E145" i="9"/>
  <c r="F145" i="9" s="1"/>
  <c r="E151" i="9"/>
  <c r="F151" i="9" s="1"/>
  <c r="E159" i="9"/>
  <c r="F159" i="9" s="1"/>
  <c r="E166" i="9"/>
  <c r="F166" i="9" s="1"/>
  <c r="E173" i="9"/>
  <c r="F173" i="9" s="1"/>
  <c r="E181" i="9"/>
  <c r="F181" i="9" s="1"/>
  <c r="E187" i="9"/>
  <c r="F187" i="9" s="1"/>
  <c r="E194" i="9"/>
  <c r="F194" i="9" s="1"/>
  <c r="E202" i="9"/>
  <c r="F202" i="9" s="1"/>
  <c r="E209" i="9"/>
  <c r="F209" i="9" s="1"/>
  <c r="E215" i="9"/>
  <c r="F215" i="9" s="1"/>
  <c r="E221" i="9"/>
  <c r="F221" i="9" s="1"/>
  <c r="E226" i="9"/>
  <c r="F226" i="9" s="1"/>
  <c r="E231" i="9"/>
  <c r="F231" i="9" s="1"/>
  <c r="E237" i="9"/>
  <c r="F237" i="9" s="1"/>
  <c r="E242" i="9"/>
  <c r="F242" i="9" s="1"/>
  <c r="E247" i="9"/>
  <c r="F247" i="9" s="1"/>
  <c r="E253" i="9"/>
  <c r="F253" i="9" s="1"/>
  <c r="E258" i="9"/>
  <c r="F258" i="9" s="1"/>
  <c r="E263" i="9"/>
  <c r="F263" i="9" s="1"/>
  <c r="E269" i="9"/>
  <c r="F269" i="9" s="1"/>
  <c r="E274" i="9"/>
  <c r="F274" i="9" s="1"/>
  <c r="E279" i="9"/>
  <c r="F279" i="9" s="1"/>
  <c r="E285" i="9"/>
  <c r="F285" i="9" s="1"/>
  <c r="E290" i="9"/>
  <c r="F290" i="9" s="1"/>
  <c r="E295" i="9"/>
  <c r="F295" i="9" s="1"/>
  <c r="E301" i="9"/>
  <c r="F301" i="9" s="1"/>
  <c r="E306" i="9"/>
  <c r="F306" i="9" s="1"/>
  <c r="E311" i="9"/>
  <c r="F311" i="9" s="1"/>
  <c r="E317" i="9"/>
  <c r="F317" i="9" s="1"/>
  <c r="E322" i="9"/>
  <c r="F322" i="9" s="1"/>
  <c r="E327" i="9"/>
  <c r="F327" i="9" s="1"/>
  <c r="E333" i="9"/>
  <c r="F333" i="9" s="1"/>
  <c r="E338" i="9"/>
  <c r="F338" i="9" s="1"/>
  <c r="E343" i="9"/>
  <c r="F343" i="9" s="1"/>
  <c r="E349" i="9"/>
  <c r="F349" i="9" s="1"/>
  <c r="E354" i="9"/>
  <c r="F354" i="9" s="1"/>
  <c r="E359" i="9"/>
  <c r="F359" i="9" s="1"/>
  <c r="E365" i="9"/>
  <c r="F365" i="9" s="1"/>
  <c r="E370" i="9"/>
  <c r="F370" i="9" s="1"/>
  <c r="E375" i="9"/>
  <c r="F375" i="9" s="1"/>
  <c r="E381" i="9"/>
  <c r="F381" i="9" s="1"/>
  <c r="E386" i="9"/>
  <c r="F386" i="9" s="1"/>
  <c r="E391" i="9"/>
  <c r="F391" i="9" s="1"/>
  <c r="E397" i="9"/>
  <c r="F397" i="9" s="1"/>
  <c r="E402" i="9"/>
  <c r="F402" i="9" s="1"/>
  <c r="E407" i="9"/>
  <c r="F407" i="9" s="1"/>
  <c r="E413" i="9"/>
  <c r="F413" i="9" s="1"/>
  <c r="E418" i="9"/>
  <c r="F418" i="9" s="1"/>
  <c r="E423" i="9"/>
  <c r="F423" i="9" s="1"/>
  <c r="E429" i="9"/>
  <c r="F429" i="9" s="1"/>
  <c r="E434" i="9"/>
  <c r="F434" i="9" s="1"/>
  <c r="E439" i="9"/>
  <c r="F439" i="9" s="1"/>
  <c r="E445" i="9"/>
  <c r="F445" i="9" s="1"/>
  <c r="E450" i="9"/>
  <c r="F450" i="9" s="1"/>
  <c r="E455" i="9"/>
  <c r="F455" i="9" s="1"/>
  <c r="E461" i="9"/>
  <c r="F461" i="9" s="1"/>
  <c r="E466" i="9"/>
  <c r="F466" i="9" s="1"/>
  <c r="E471" i="9"/>
  <c r="F471" i="9" s="1"/>
  <c r="E477" i="9"/>
  <c r="F477" i="9" s="1"/>
  <c r="E482" i="9"/>
  <c r="F482" i="9" s="1"/>
  <c r="E487" i="9"/>
  <c r="F487" i="9" s="1"/>
  <c r="E493" i="9"/>
  <c r="F493" i="9" s="1"/>
  <c r="E498" i="9"/>
  <c r="F498" i="9" s="1"/>
  <c r="E503" i="9"/>
  <c r="F503" i="9" s="1"/>
  <c r="E509" i="9"/>
  <c r="F509" i="9" s="1"/>
  <c r="E513" i="9"/>
  <c r="F513" i="9" s="1"/>
  <c r="E517" i="9"/>
  <c r="F517" i="9" s="1"/>
  <c r="E521" i="9"/>
  <c r="F521" i="9" s="1"/>
  <c r="E525" i="9"/>
  <c r="F525" i="9" s="1"/>
  <c r="E529" i="9"/>
  <c r="F529" i="9" s="1"/>
  <c r="E36" i="9"/>
  <c r="L27" i="9"/>
  <c r="H30" i="19"/>
  <c r="I30" i="19" s="1"/>
  <c r="J30" i="19" s="1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I26" i="19" s="1"/>
  <c r="J26" i="19" s="1"/>
  <c r="H27" i="19"/>
  <c r="H28" i="19"/>
  <c r="H29" i="19"/>
  <c r="H10" i="19"/>
  <c r="C546" i="9"/>
  <c r="C548" i="9"/>
  <c r="E548" i="9" s="1"/>
  <c r="I11" i="19" l="1"/>
  <c r="J11" i="19" s="1"/>
  <c r="I19" i="19"/>
  <c r="J19" i="19" s="1"/>
  <c r="I17" i="19"/>
  <c r="J17" i="19" s="1"/>
  <c r="I20" i="19"/>
  <c r="J20" i="19" s="1"/>
  <c r="I18" i="19"/>
  <c r="J18" i="19" s="1"/>
  <c r="I22" i="19"/>
  <c r="J22" i="19" s="1"/>
  <c r="I28" i="19"/>
  <c r="J28" i="19" s="1"/>
  <c r="I24" i="19"/>
  <c r="J24" i="19" s="1"/>
  <c r="E531" i="9"/>
  <c r="F531" i="9" s="1"/>
  <c r="F36" i="9"/>
  <c r="E40" i="9"/>
  <c r="F40" i="9" s="1"/>
  <c r="E44" i="9"/>
  <c r="F44" i="9" s="1"/>
  <c r="E48" i="9"/>
  <c r="F48" i="9" s="1"/>
  <c r="E52" i="9"/>
  <c r="F52" i="9" s="1"/>
  <c r="E56" i="9"/>
  <c r="F56" i="9" s="1"/>
  <c r="E60" i="9"/>
  <c r="F60" i="9" s="1"/>
  <c r="E64" i="9"/>
  <c r="F64" i="9" s="1"/>
  <c r="E68" i="9"/>
  <c r="F68" i="9" s="1"/>
  <c r="E72" i="9"/>
  <c r="F72" i="9" s="1"/>
  <c r="E76" i="9"/>
  <c r="F76" i="9" s="1"/>
  <c r="E80" i="9"/>
  <c r="F80" i="9" s="1"/>
  <c r="E84" i="9"/>
  <c r="F84" i="9" s="1"/>
  <c r="E88" i="9"/>
  <c r="F88" i="9" s="1"/>
  <c r="E92" i="9"/>
  <c r="F92" i="9" s="1"/>
  <c r="E96" i="9"/>
  <c r="F96" i="9" s="1"/>
  <c r="E100" i="9"/>
  <c r="F100" i="9" s="1"/>
  <c r="E104" i="9"/>
  <c r="F104" i="9" s="1"/>
  <c r="E108" i="9"/>
  <c r="F108" i="9" s="1"/>
  <c r="E112" i="9"/>
  <c r="F112" i="9" s="1"/>
  <c r="E116" i="9"/>
  <c r="F116" i="9" s="1"/>
  <c r="E120" i="9"/>
  <c r="F120" i="9" s="1"/>
  <c r="E124" i="9"/>
  <c r="F124" i="9" s="1"/>
  <c r="E128" i="9"/>
  <c r="F128" i="9" s="1"/>
  <c r="E132" i="9"/>
  <c r="F132" i="9" s="1"/>
  <c r="E136" i="9"/>
  <c r="F136" i="9" s="1"/>
  <c r="E140" i="9"/>
  <c r="F140" i="9" s="1"/>
  <c r="E144" i="9"/>
  <c r="F144" i="9" s="1"/>
  <c r="E148" i="9"/>
  <c r="F148" i="9" s="1"/>
  <c r="E152" i="9"/>
  <c r="F152" i="9" s="1"/>
  <c r="E156" i="9"/>
  <c r="F156" i="9" s="1"/>
  <c r="E160" i="9"/>
  <c r="F160" i="9" s="1"/>
  <c r="E164" i="9"/>
  <c r="F164" i="9" s="1"/>
  <c r="E168" i="9"/>
  <c r="F168" i="9" s="1"/>
  <c r="E172" i="9"/>
  <c r="F172" i="9" s="1"/>
  <c r="E176" i="9"/>
  <c r="F176" i="9" s="1"/>
  <c r="E180" i="9"/>
  <c r="F180" i="9" s="1"/>
  <c r="E184" i="9"/>
  <c r="F184" i="9" s="1"/>
  <c r="E188" i="9"/>
  <c r="F188" i="9" s="1"/>
  <c r="E192" i="9"/>
  <c r="F192" i="9" s="1"/>
  <c r="E196" i="9"/>
  <c r="F196" i="9" s="1"/>
  <c r="E200" i="9"/>
  <c r="F200" i="9" s="1"/>
  <c r="E204" i="9"/>
  <c r="F204" i="9" s="1"/>
  <c r="E208" i="9"/>
  <c r="F208" i="9" s="1"/>
  <c r="E212" i="9"/>
  <c r="F212" i="9" s="1"/>
  <c r="E41" i="9"/>
  <c r="F41" i="9" s="1"/>
  <c r="E46" i="9"/>
  <c r="F46" i="9" s="1"/>
  <c r="E51" i="9"/>
  <c r="F51" i="9" s="1"/>
  <c r="E57" i="9"/>
  <c r="F57" i="9" s="1"/>
  <c r="E62" i="9"/>
  <c r="F62" i="9" s="1"/>
  <c r="E67" i="9"/>
  <c r="F67" i="9" s="1"/>
  <c r="E73" i="9"/>
  <c r="F73" i="9" s="1"/>
  <c r="E78" i="9"/>
  <c r="F78" i="9" s="1"/>
  <c r="E83" i="9"/>
  <c r="F83" i="9" s="1"/>
  <c r="E89" i="9"/>
  <c r="F89" i="9" s="1"/>
  <c r="E94" i="9"/>
  <c r="F94" i="9" s="1"/>
  <c r="E99" i="9"/>
  <c r="F99" i="9" s="1"/>
  <c r="E105" i="9"/>
  <c r="F105" i="9" s="1"/>
  <c r="E110" i="9"/>
  <c r="F110" i="9" s="1"/>
  <c r="E115" i="9"/>
  <c r="F115" i="9" s="1"/>
  <c r="E121" i="9"/>
  <c r="F121" i="9" s="1"/>
  <c r="E126" i="9"/>
  <c r="F126" i="9" s="1"/>
  <c r="E131" i="9"/>
  <c r="F131" i="9" s="1"/>
  <c r="E137" i="9"/>
  <c r="F137" i="9" s="1"/>
  <c r="E142" i="9"/>
  <c r="F142" i="9" s="1"/>
  <c r="E147" i="9"/>
  <c r="F147" i="9" s="1"/>
  <c r="E153" i="9"/>
  <c r="F153" i="9" s="1"/>
  <c r="E158" i="9"/>
  <c r="F158" i="9" s="1"/>
  <c r="E163" i="9"/>
  <c r="F163" i="9" s="1"/>
  <c r="E169" i="9"/>
  <c r="F169" i="9" s="1"/>
  <c r="E174" i="9"/>
  <c r="F174" i="9" s="1"/>
  <c r="E179" i="9"/>
  <c r="F179" i="9" s="1"/>
  <c r="E185" i="9"/>
  <c r="F185" i="9" s="1"/>
  <c r="E190" i="9"/>
  <c r="F190" i="9" s="1"/>
  <c r="E195" i="9"/>
  <c r="F195" i="9" s="1"/>
  <c r="E201" i="9"/>
  <c r="F201" i="9" s="1"/>
  <c r="E206" i="9"/>
  <c r="F206" i="9" s="1"/>
  <c r="E211" i="9"/>
  <c r="F211" i="9" s="1"/>
  <c r="E216" i="9"/>
  <c r="F216" i="9" s="1"/>
  <c r="E220" i="9"/>
  <c r="F220" i="9" s="1"/>
  <c r="E224" i="9"/>
  <c r="F224" i="9" s="1"/>
  <c r="E228" i="9"/>
  <c r="F228" i="9" s="1"/>
  <c r="E232" i="9"/>
  <c r="F232" i="9" s="1"/>
  <c r="E236" i="9"/>
  <c r="F236" i="9" s="1"/>
  <c r="E240" i="9"/>
  <c r="F240" i="9" s="1"/>
  <c r="E244" i="9"/>
  <c r="F244" i="9" s="1"/>
  <c r="E248" i="9"/>
  <c r="F248" i="9" s="1"/>
  <c r="E252" i="9"/>
  <c r="F252" i="9" s="1"/>
  <c r="E256" i="9"/>
  <c r="F256" i="9" s="1"/>
  <c r="E260" i="9"/>
  <c r="F260" i="9" s="1"/>
  <c r="E264" i="9"/>
  <c r="F264" i="9" s="1"/>
  <c r="E268" i="9"/>
  <c r="F268" i="9" s="1"/>
  <c r="E272" i="9"/>
  <c r="F272" i="9" s="1"/>
  <c r="E276" i="9"/>
  <c r="F276" i="9" s="1"/>
  <c r="E280" i="9"/>
  <c r="F280" i="9" s="1"/>
  <c r="E284" i="9"/>
  <c r="F284" i="9" s="1"/>
  <c r="E288" i="9"/>
  <c r="F288" i="9" s="1"/>
  <c r="E292" i="9"/>
  <c r="F292" i="9" s="1"/>
  <c r="E296" i="9"/>
  <c r="F296" i="9" s="1"/>
  <c r="E300" i="9"/>
  <c r="F300" i="9" s="1"/>
  <c r="E304" i="9"/>
  <c r="F304" i="9" s="1"/>
  <c r="E308" i="9"/>
  <c r="F308" i="9" s="1"/>
  <c r="E312" i="9"/>
  <c r="F312" i="9" s="1"/>
  <c r="E316" i="9"/>
  <c r="F316" i="9" s="1"/>
  <c r="E320" i="9"/>
  <c r="F320" i="9" s="1"/>
  <c r="E324" i="9"/>
  <c r="F324" i="9" s="1"/>
  <c r="E328" i="9"/>
  <c r="F328" i="9" s="1"/>
  <c r="E332" i="9"/>
  <c r="F332" i="9" s="1"/>
  <c r="E336" i="9"/>
  <c r="F336" i="9" s="1"/>
  <c r="E340" i="9"/>
  <c r="F340" i="9" s="1"/>
  <c r="E344" i="9"/>
  <c r="F344" i="9" s="1"/>
  <c r="E348" i="9"/>
  <c r="F348" i="9" s="1"/>
  <c r="E352" i="9"/>
  <c r="F352" i="9" s="1"/>
  <c r="E356" i="9"/>
  <c r="F356" i="9" s="1"/>
  <c r="E360" i="9"/>
  <c r="F360" i="9" s="1"/>
  <c r="E364" i="9"/>
  <c r="F364" i="9" s="1"/>
  <c r="E368" i="9"/>
  <c r="F368" i="9" s="1"/>
  <c r="E372" i="9"/>
  <c r="F372" i="9" s="1"/>
  <c r="E376" i="9"/>
  <c r="F376" i="9" s="1"/>
  <c r="E380" i="9"/>
  <c r="F380" i="9" s="1"/>
  <c r="E384" i="9"/>
  <c r="F384" i="9" s="1"/>
  <c r="E388" i="9"/>
  <c r="F388" i="9" s="1"/>
  <c r="E392" i="9"/>
  <c r="F392" i="9" s="1"/>
  <c r="E396" i="9"/>
  <c r="F396" i="9" s="1"/>
  <c r="E400" i="9"/>
  <c r="F400" i="9" s="1"/>
  <c r="E404" i="9"/>
  <c r="F404" i="9" s="1"/>
  <c r="E408" i="9"/>
  <c r="F408" i="9" s="1"/>
  <c r="E412" i="9"/>
  <c r="F412" i="9" s="1"/>
  <c r="E416" i="9"/>
  <c r="F416" i="9" s="1"/>
  <c r="E420" i="9"/>
  <c r="F420" i="9" s="1"/>
  <c r="E424" i="9"/>
  <c r="F424" i="9" s="1"/>
  <c r="E428" i="9"/>
  <c r="F428" i="9" s="1"/>
  <c r="E432" i="9"/>
  <c r="F432" i="9" s="1"/>
  <c r="E436" i="9"/>
  <c r="F436" i="9" s="1"/>
  <c r="E440" i="9"/>
  <c r="F440" i="9" s="1"/>
  <c r="E444" i="9"/>
  <c r="F444" i="9" s="1"/>
  <c r="E448" i="9"/>
  <c r="F448" i="9" s="1"/>
  <c r="E452" i="9"/>
  <c r="F452" i="9" s="1"/>
  <c r="E456" i="9"/>
  <c r="F456" i="9" s="1"/>
  <c r="E460" i="9"/>
  <c r="F460" i="9" s="1"/>
  <c r="E464" i="9"/>
  <c r="F464" i="9" s="1"/>
  <c r="E468" i="9"/>
  <c r="F468" i="9" s="1"/>
  <c r="E472" i="9"/>
  <c r="F472" i="9" s="1"/>
  <c r="E476" i="9"/>
  <c r="F476" i="9" s="1"/>
  <c r="E480" i="9"/>
  <c r="F480" i="9" s="1"/>
  <c r="E484" i="9"/>
  <c r="F484" i="9" s="1"/>
  <c r="E488" i="9"/>
  <c r="F488" i="9" s="1"/>
  <c r="E492" i="9"/>
  <c r="F492" i="9" s="1"/>
  <c r="E496" i="9"/>
  <c r="F496" i="9" s="1"/>
  <c r="E500" i="9"/>
  <c r="F500" i="9" s="1"/>
  <c r="E504" i="9"/>
  <c r="F504" i="9" s="1"/>
  <c r="E508" i="9"/>
  <c r="F508" i="9" s="1"/>
  <c r="E527" i="9"/>
  <c r="F527" i="9" s="1"/>
  <c r="E523" i="9"/>
  <c r="F523" i="9" s="1"/>
  <c r="E519" i="9"/>
  <c r="F519" i="9" s="1"/>
  <c r="E515" i="9"/>
  <c r="F515" i="9" s="1"/>
  <c r="E511" i="9"/>
  <c r="F511" i="9" s="1"/>
  <c r="E506" i="9"/>
  <c r="F506" i="9" s="1"/>
  <c r="E501" i="9"/>
  <c r="F501" i="9" s="1"/>
  <c r="E495" i="9"/>
  <c r="F495" i="9" s="1"/>
  <c r="E490" i="9"/>
  <c r="F490" i="9" s="1"/>
  <c r="E485" i="9"/>
  <c r="F485" i="9" s="1"/>
  <c r="E479" i="9"/>
  <c r="F479" i="9" s="1"/>
  <c r="E474" i="9"/>
  <c r="F474" i="9" s="1"/>
  <c r="E469" i="9"/>
  <c r="F469" i="9" s="1"/>
  <c r="E463" i="9"/>
  <c r="F463" i="9" s="1"/>
  <c r="E458" i="9"/>
  <c r="F458" i="9" s="1"/>
  <c r="E453" i="9"/>
  <c r="F453" i="9" s="1"/>
  <c r="E447" i="9"/>
  <c r="F447" i="9" s="1"/>
  <c r="E442" i="9"/>
  <c r="F442" i="9" s="1"/>
  <c r="E437" i="9"/>
  <c r="F437" i="9" s="1"/>
  <c r="E431" i="9"/>
  <c r="F431" i="9" s="1"/>
  <c r="E426" i="9"/>
  <c r="F426" i="9" s="1"/>
  <c r="E421" i="9"/>
  <c r="F421" i="9" s="1"/>
  <c r="E415" i="9"/>
  <c r="F415" i="9" s="1"/>
  <c r="E410" i="9"/>
  <c r="F410" i="9" s="1"/>
  <c r="E405" i="9"/>
  <c r="F405" i="9" s="1"/>
  <c r="E399" i="9"/>
  <c r="F399" i="9" s="1"/>
  <c r="E394" i="9"/>
  <c r="F394" i="9" s="1"/>
  <c r="E389" i="9"/>
  <c r="F389" i="9" s="1"/>
  <c r="E383" i="9"/>
  <c r="F383" i="9" s="1"/>
  <c r="E378" i="9"/>
  <c r="F378" i="9" s="1"/>
  <c r="E373" i="9"/>
  <c r="F373" i="9" s="1"/>
  <c r="E367" i="9"/>
  <c r="F367" i="9" s="1"/>
  <c r="E362" i="9"/>
  <c r="F362" i="9" s="1"/>
  <c r="E357" i="9"/>
  <c r="F357" i="9" s="1"/>
  <c r="E351" i="9"/>
  <c r="F351" i="9" s="1"/>
  <c r="E346" i="9"/>
  <c r="F346" i="9" s="1"/>
  <c r="E341" i="9"/>
  <c r="F341" i="9" s="1"/>
  <c r="E335" i="9"/>
  <c r="F335" i="9" s="1"/>
  <c r="E330" i="9"/>
  <c r="F330" i="9" s="1"/>
  <c r="E325" i="9"/>
  <c r="F325" i="9" s="1"/>
  <c r="E319" i="9"/>
  <c r="F319" i="9" s="1"/>
  <c r="E314" i="9"/>
  <c r="F314" i="9" s="1"/>
  <c r="E309" i="9"/>
  <c r="F309" i="9" s="1"/>
  <c r="E303" i="9"/>
  <c r="F303" i="9" s="1"/>
  <c r="E298" i="9"/>
  <c r="F298" i="9" s="1"/>
  <c r="E293" i="9"/>
  <c r="F293" i="9" s="1"/>
  <c r="E287" i="9"/>
  <c r="F287" i="9" s="1"/>
  <c r="E282" i="9"/>
  <c r="F282" i="9" s="1"/>
  <c r="E277" i="9"/>
  <c r="F277" i="9" s="1"/>
  <c r="E271" i="9"/>
  <c r="F271" i="9" s="1"/>
  <c r="E266" i="9"/>
  <c r="F266" i="9" s="1"/>
  <c r="E261" i="9"/>
  <c r="F261" i="9" s="1"/>
  <c r="E255" i="9"/>
  <c r="F255" i="9" s="1"/>
  <c r="E250" i="9"/>
  <c r="F250" i="9" s="1"/>
  <c r="E245" i="9"/>
  <c r="F245" i="9" s="1"/>
  <c r="E239" i="9"/>
  <c r="F239" i="9" s="1"/>
  <c r="E234" i="9"/>
  <c r="F234" i="9" s="1"/>
  <c r="E229" i="9"/>
  <c r="F229" i="9" s="1"/>
  <c r="E223" i="9"/>
  <c r="F223" i="9" s="1"/>
  <c r="E218" i="9"/>
  <c r="F218" i="9" s="1"/>
  <c r="E213" i="9"/>
  <c r="F213" i="9" s="1"/>
  <c r="E205" i="9"/>
  <c r="F205" i="9" s="1"/>
  <c r="E198" i="9"/>
  <c r="F198" i="9" s="1"/>
  <c r="E191" i="9"/>
  <c r="F191" i="9" s="1"/>
  <c r="E183" i="9"/>
  <c r="F183" i="9" s="1"/>
  <c r="E177" i="9"/>
  <c r="F177" i="9" s="1"/>
  <c r="E170" i="9"/>
  <c r="F170" i="9" s="1"/>
  <c r="E162" i="9"/>
  <c r="F162" i="9" s="1"/>
  <c r="E155" i="9"/>
  <c r="F155" i="9" s="1"/>
  <c r="E149" i="9"/>
  <c r="F149" i="9" s="1"/>
  <c r="E141" i="9"/>
  <c r="F141" i="9" s="1"/>
  <c r="E134" i="9"/>
  <c r="F134" i="9" s="1"/>
  <c r="E127" i="9"/>
  <c r="F127" i="9" s="1"/>
  <c r="E119" i="9"/>
  <c r="F119" i="9" s="1"/>
  <c r="E113" i="9"/>
  <c r="F113" i="9" s="1"/>
  <c r="E106" i="9"/>
  <c r="F106" i="9" s="1"/>
  <c r="E98" i="9"/>
  <c r="F98" i="9" s="1"/>
  <c r="E91" i="9"/>
  <c r="F91" i="9" s="1"/>
  <c r="E85" i="9"/>
  <c r="F85" i="9" s="1"/>
  <c r="E77" i="9"/>
  <c r="F77" i="9" s="1"/>
  <c r="E70" i="9"/>
  <c r="F70" i="9" s="1"/>
  <c r="E63" i="9"/>
  <c r="F63" i="9" s="1"/>
  <c r="E55" i="9"/>
  <c r="F55" i="9" s="1"/>
  <c r="E49" i="9"/>
  <c r="F49" i="9" s="1"/>
  <c r="E42" i="9"/>
  <c r="F42" i="9" s="1"/>
  <c r="E546" i="9"/>
  <c r="I27" i="19"/>
  <c r="J27" i="19" s="1"/>
  <c r="I23" i="19"/>
  <c r="J23" i="19" s="1"/>
  <c r="E530" i="9"/>
  <c r="F530" i="9" s="1"/>
  <c r="E526" i="9"/>
  <c r="F526" i="9" s="1"/>
  <c r="E522" i="9"/>
  <c r="F522" i="9" s="1"/>
  <c r="E518" i="9"/>
  <c r="F518" i="9" s="1"/>
  <c r="E514" i="9"/>
  <c r="F514" i="9" s="1"/>
  <c r="E510" i="9"/>
  <c r="F510" i="9" s="1"/>
  <c r="E505" i="9"/>
  <c r="F505" i="9" s="1"/>
  <c r="E499" i="9"/>
  <c r="F499" i="9" s="1"/>
  <c r="E494" i="9"/>
  <c r="F494" i="9" s="1"/>
  <c r="E489" i="9"/>
  <c r="F489" i="9" s="1"/>
  <c r="E483" i="9"/>
  <c r="F483" i="9" s="1"/>
  <c r="E478" i="9"/>
  <c r="F478" i="9" s="1"/>
  <c r="E473" i="9"/>
  <c r="F473" i="9" s="1"/>
  <c r="E467" i="9"/>
  <c r="F467" i="9" s="1"/>
  <c r="E462" i="9"/>
  <c r="F462" i="9" s="1"/>
  <c r="E457" i="9"/>
  <c r="F457" i="9" s="1"/>
  <c r="E451" i="9"/>
  <c r="F451" i="9" s="1"/>
  <c r="E446" i="9"/>
  <c r="F446" i="9" s="1"/>
  <c r="E441" i="9"/>
  <c r="F441" i="9" s="1"/>
  <c r="E435" i="9"/>
  <c r="F435" i="9" s="1"/>
  <c r="E430" i="9"/>
  <c r="F430" i="9" s="1"/>
  <c r="E425" i="9"/>
  <c r="F425" i="9" s="1"/>
  <c r="E419" i="9"/>
  <c r="F419" i="9" s="1"/>
  <c r="E414" i="9"/>
  <c r="F414" i="9" s="1"/>
  <c r="E409" i="9"/>
  <c r="F409" i="9" s="1"/>
  <c r="E403" i="9"/>
  <c r="F403" i="9" s="1"/>
  <c r="E398" i="9"/>
  <c r="F398" i="9" s="1"/>
  <c r="E393" i="9"/>
  <c r="F393" i="9" s="1"/>
  <c r="E387" i="9"/>
  <c r="F387" i="9" s="1"/>
  <c r="E382" i="9"/>
  <c r="F382" i="9" s="1"/>
  <c r="E377" i="9"/>
  <c r="F377" i="9" s="1"/>
  <c r="E371" i="9"/>
  <c r="F371" i="9" s="1"/>
  <c r="E366" i="9"/>
  <c r="F366" i="9" s="1"/>
  <c r="E361" i="9"/>
  <c r="F361" i="9" s="1"/>
  <c r="E355" i="9"/>
  <c r="F355" i="9" s="1"/>
  <c r="E350" i="9"/>
  <c r="F350" i="9" s="1"/>
  <c r="E345" i="9"/>
  <c r="F345" i="9" s="1"/>
  <c r="E339" i="9"/>
  <c r="F339" i="9" s="1"/>
  <c r="E334" i="9"/>
  <c r="F334" i="9" s="1"/>
  <c r="E329" i="9"/>
  <c r="F329" i="9" s="1"/>
  <c r="E323" i="9"/>
  <c r="F323" i="9" s="1"/>
  <c r="E318" i="9"/>
  <c r="F318" i="9" s="1"/>
  <c r="E313" i="9"/>
  <c r="F313" i="9" s="1"/>
  <c r="E307" i="9"/>
  <c r="F307" i="9" s="1"/>
  <c r="E302" i="9"/>
  <c r="F302" i="9" s="1"/>
  <c r="E297" i="9"/>
  <c r="F297" i="9" s="1"/>
  <c r="E291" i="9"/>
  <c r="F291" i="9" s="1"/>
  <c r="E286" i="9"/>
  <c r="F286" i="9" s="1"/>
  <c r="E281" i="9"/>
  <c r="F281" i="9" s="1"/>
  <c r="E275" i="9"/>
  <c r="F275" i="9" s="1"/>
  <c r="E270" i="9"/>
  <c r="F270" i="9" s="1"/>
  <c r="E265" i="9"/>
  <c r="F265" i="9" s="1"/>
  <c r="E259" i="9"/>
  <c r="F259" i="9" s="1"/>
  <c r="E254" i="9"/>
  <c r="F254" i="9" s="1"/>
  <c r="E249" i="9"/>
  <c r="F249" i="9" s="1"/>
  <c r="E243" i="9"/>
  <c r="F243" i="9" s="1"/>
  <c r="E238" i="9"/>
  <c r="F238" i="9" s="1"/>
  <c r="E233" i="9"/>
  <c r="F233" i="9" s="1"/>
  <c r="E227" i="9"/>
  <c r="F227" i="9" s="1"/>
  <c r="E222" i="9"/>
  <c r="F222" i="9" s="1"/>
  <c r="E217" i="9"/>
  <c r="F217" i="9" s="1"/>
  <c r="E210" i="9"/>
  <c r="F210" i="9" s="1"/>
  <c r="E203" i="9"/>
  <c r="F203" i="9" s="1"/>
  <c r="E197" i="9"/>
  <c r="F197" i="9" s="1"/>
  <c r="E189" i="9"/>
  <c r="F189" i="9" s="1"/>
  <c r="E182" i="9"/>
  <c r="F182" i="9" s="1"/>
  <c r="E175" i="9"/>
  <c r="F175" i="9" s="1"/>
  <c r="E167" i="9"/>
  <c r="F167" i="9" s="1"/>
  <c r="E161" i="9"/>
  <c r="F161" i="9" s="1"/>
  <c r="E154" i="9"/>
  <c r="F154" i="9" s="1"/>
  <c r="E146" i="9"/>
  <c r="F146" i="9" s="1"/>
  <c r="E139" i="9"/>
  <c r="F139" i="9" s="1"/>
  <c r="E133" i="9"/>
  <c r="F133" i="9" s="1"/>
  <c r="E125" i="9"/>
  <c r="F125" i="9" s="1"/>
  <c r="E118" i="9"/>
  <c r="F118" i="9" s="1"/>
  <c r="E111" i="9"/>
  <c r="F111" i="9" s="1"/>
  <c r="E103" i="9"/>
  <c r="F103" i="9" s="1"/>
  <c r="E97" i="9"/>
  <c r="F97" i="9" s="1"/>
  <c r="E90" i="9"/>
  <c r="F90" i="9" s="1"/>
  <c r="E82" i="9"/>
  <c r="F82" i="9" s="1"/>
  <c r="E75" i="9"/>
  <c r="F75" i="9" s="1"/>
  <c r="E69" i="9"/>
  <c r="F69" i="9" s="1"/>
  <c r="E61" i="9"/>
  <c r="F61" i="9" s="1"/>
  <c r="E54" i="9"/>
  <c r="F54" i="9" s="1"/>
  <c r="E47" i="9"/>
  <c r="F47" i="9" s="1"/>
  <c r="E39" i="9"/>
  <c r="F39" i="9" s="1"/>
  <c r="I29" i="19"/>
  <c r="J29" i="19" s="1"/>
  <c r="I25" i="19"/>
  <c r="J25" i="19" s="1"/>
  <c r="I21" i="19"/>
  <c r="J21" i="19" s="1"/>
  <c r="E528" i="9"/>
  <c r="F528" i="9" s="1"/>
  <c r="E524" i="9"/>
  <c r="F524" i="9" s="1"/>
  <c r="E520" i="9"/>
  <c r="F520" i="9" s="1"/>
  <c r="E516" i="9"/>
  <c r="F516" i="9" s="1"/>
  <c r="E512" i="9"/>
  <c r="F512" i="9" s="1"/>
  <c r="E507" i="9"/>
  <c r="F507" i="9" s="1"/>
  <c r="E502" i="9"/>
  <c r="F502" i="9" s="1"/>
  <c r="E497" i="9"/>
  <c r="F497" i="9" s="1"/>
  <c r="E491" i="9"/>
  <c r="F491" i="9" s="1"/>
  <c r="E486" i="9"/>
  <c r="F486" i="9" s="1"/>
  <c r="E481" i="9"/>
  <c r="F481" i="9" s="1"/>
  <c r="E475" i="9"/>
  <c r="F475" i="9" s="1"/>
  <c r="E470" i="9"/>
  <c r="F470" i="9" s="1"/>
  <c r="E465" i="9"/>
  <c r="F465" i="9" s="1"/>
  <c r="E459" i="9"/>
  <c r="F459" i="9" s="1"/>
  <c r="E454" i="9"/>
  <c r="F454" i="9" s="1"/>
  <c r="E449" i="9"/>
  <c r="F449" i="9" s="1"/>
  <c r="E443" i="9"/>
  <c r="F443" i="9" s="1"/>
  <c r="E438" i="9"/>
  <c r="F438" i="9" s="1"/>
  <c r="E433" i="9"/>
  <c r="F433" i="9" s="1"/>
  <c r="E427" i="9"/>
  <c r="F427" i="9" s="1"/>
  <c r="E422" i="9"/>
  <c r="F422" i="9" s="1"/>
  <c r="E417" i="9"/>
  <c r="F417" i="9" s="1"/>
  <c r="E411" i="9"/>
  <c r="F411" i="9" s="1"/>
  <c r="E406" i="9"/>
  <c r="F406" i="9" s="1"/>
  <c r="E401" i="9"/>
  <c r="F401" i="9" s="1"/>
  <c r="E395" i="9"/>
  <c r="F395" i="9" s="1"/>
  <c r="E390" i="9"/>
  <c r="F390" i="9" s="1"/>
  <c r="E385" i="9"/>
  <c r="F385" i="9" s="1"/>
  <c r="E379" i="9"/>
  <c r="F379" i="9" s="1"/>
  <c r="E374" i="9"/>
  <c r="F374" i="9" s="1"/>
  <c r="E369" i="9"/>
  <c r="F369" i="9" s="1"/>
  <c r="E363" i="9"/>
  <c r="F363" i="9" s="1"/>
  <c r="E358" i="9"/>
  <c r="F358" i="9" s="1"/>
  <c r="E353" i="9"/>
  <c r="F353" i="9" s="1"/>
  <c r="E347" i="9"/>
  <c r="F347" i="9" s="1"/>
  <c r="E342" i="9"/>
  <c r="F342" i="9" s="1"/>
  <c r="E337" i="9"/>
  <c r="F337" i="9" s="1"/>
  <c r="E331" i="9"/>
  <c r="F331" i="9" s="1"/>
  <c r="E326" i="9"/>
  <c r="F326" i="9" s="1"/>
  <c r="E321" i="9"/>
  <c r="F321" i="9" s="1"/>
  <c r="E315" i="9"/>
  <c r="F315" i="9" s="1"/>
  <c r="E310" i="9"/>
  <c r="F310" i="9" s="1"/>
  <c r="E305" i="9"/>
  <c r="F305" i="9" s="1"/>
  <c r="E299" i="9"/>
  <c r="F299" i="9" s="1"/>
  <c r="E294" i="9"/>
  <c r="F294" i="9" s="1"/>
  <c r="E289" i="9"/>
  <c r="F289" i="9" s="1"/>
  <c r="E283" i="9"/>
  <c r="F283" i="9" s="1"/>
  <c r="E278" i="9"/>
  <c r="F278" i="9" s="1"/>
  <c r="E273" i="9"/>
  <c r="F273" i="9" s="1"/>
  <c r="E267" i="9"/>
  <c r="F267" i="9" s="1"/>
  <c r="E262" i="9"/>
  <c r="F262" i="9" s="1"/>
  <c r="E257" i="9"/>
  <c r="F257" i="9" s="1"/>
  <c r="E251" i="9"/>
  <c r="F251" i="9" s="1"/>
  <c r="E246" i="9"/>
  <c r="F246" i="9" s="1"/>
  <c r="E241" i="9"/>
  <c r="F241" i="9" s="1"/>
  <c r="E235" i="9"/>
  <c r="F235" i="9" s="1"/>
  <c r="E230" i="9"/>
  <c r="F230" i="9" s="1"/>
  <c r="E225" i="9"/>
  <c r="F225" i="9" s="1"/>
  <c r="E219" i="9"/>
  <c r="F219" i="9" s="1"/>
  <c r="E214" i="9"/>
  <c r="F214" i="9" s="1"/>
  <c r="E207" i="9"/>
  <c r="F207" i="9" s="1"/>
  <c r="E199" i="9"/>
  <c r="F199" i="9" s="1"/>
  <c r="E193" i="9"/>
  <c r="F193" i="9" s="1"/>
  <c r="E186" i="9"/>
  <c r="F186" i="9" s="1"/>
  <c r="E178" i="9"/>
  <c r="F178" i="9" s="1"/>
  <c r="E171" i="9"/>
  <c r="F171" i="9" s="1"/>
  <c r="E165" i="9"/>
  <c r="F165" i="9" s="1"/>
  <c r="E157" i="9"/>
  <c r="F157" i="9" s="1"/>
  <c r="E150" i="9"/>
  <c r="F150" i="9" s="1"/>
  <c r="E143" i="9"/>
  <c r="F143" i="9" s="1"/>
  <c r="E135" i="9"/>
  <c r="F135" i="9" s="1"/>
  <c r="E129" i="9"/>
  <c r="F129" i="9" s="1"/>
  <c r="E122" i="9"/>
  <c r="F122" i="9" s="1"/>
  <c r="E114" i="9"/>
  <c r="F114" i="9" s="1"/>
  <c r="E107" i="9"/>
  <c r="F107" i="9" s="1"/>
  <c r="E101" i="9"/>
  <c r="F101" i="9" s="1"/>
  <c r="E93" i="9"/>
  <c r="F93" i="9" s="1"/>
  <c r="E86" i="9"/>
  <c r="F86" i="9" s="1"/>
  <c r="E79" i="9"/>
  <c r="F79" i="9" s="1"/>
  <c r="E71" i="9"/>
  <c r="F71" i="9" s="1"/>
  <c r="E65" i="9"/>
  <c r="F65" i="9" s="1"/>
  <c r="E58" i="9"/>
  <c r="F58" i="9" s="1"/>
  <c r="E50" i="9"/>
  <c r="F50" i="9" s="1"/>
  <c r="E43" i="9"/>
  <c r="F43" i="9" s="1"/>
  <c r="E37" i="9"/>
  <c r="F37" i="9" s="1"/>
  <c r="I16" i="19"/>
  <c r="J16" i="19" s="1"/>
  <c r="H32" i="19"/>
  <c r="I10" i="19"/>
  <c r="J10" i="19" s="1"/>
  <c r="I15" i="19"/>
  <c r="J15" i="19" s="1"/>
  <c r="I14" i="19"/>
  <c r="J14" i="19" s="1"/>
  <c r="I13" i="19"/>
  <c r="J13" i="19" s="1"/>
  <c r="I12" i="19"/>
  <c r="J12" i="19" s="1"/>
  <c r="D20" i="25"/>
  <c r="D18" i="25"/>
  <c r="D17" i="25"/>
  <c r="D16" i="25"/>
  <c r="E533" i="9" l="1"/>
  <c r="L26" i="9"/>
  <c r="K9" i="5" l="1"/>
  <c r="E7" i="25" l="1"/>
  <c r="M23" i="9" l="1"/>
  <c r="N23" i="9"/>
  <c r="L23" i="9"/>
  <c r="N20" i="9"/>
  <c r="N21" i="9" s="1"/>
  <c r="N22" i="9" s="1"/>
  <c r="M20" i="9"/>
  <c r="M21" i="9" s="1"/>
  <c r="M22" i="9" s="1"/>
  <c r="L20" i="9"/>
  <c r="O19" i="9"/>
  <c r="O18" i="9"/>
  <c r="E19" i="9" l="1"/>
  <c r="I19" i="9" s="1"/>
  <c r="I21" i="9" s="1"/>
  <c r="O20" i="9"/>
  <c r="L21" i="9"/>
  <c r="L22" i="9" l="1"/>
  <c r="O21" i="9"/>
  <c r="O22" i="9" l="1"/>
  <c r="C19" i="9"/>
  <c r="C21" i="9" s="1"/>
  <c r="C13" i="13" l="1"/>
  <c r="E28" i="23"/>
  <c r="F28" i="23" s="1"/>
  <c r="E22" i="23"/>
  <c r="F22" i="23" s="1"/>
  <c r="E16" i="23"/>
  <c r="F16" i="23" s="1"/>
  <c r="E10" i="23"/>
  <c r="D10" i="23"/>
  <c r="C10" i="23"/>
  <c r="F10" i="23" l="1"/>
  <c r="F21" i="23"/>
  <c r="D21" i="23"/>
  <c r="N8" i="23" s="1"/>
  <c r="C21" i="23"/>
  <c r="M8" i="23" s="1"/>
  <c r="F20" i="23"/>
  <c r="D20" i="23"/>
  <c r="L8" i="23" s="1"/>
  <c r="C20" i="23"/>
  <c r="K8" i="23" s="1"/>
  <c r="F26" i="23"/>
  <c r="C26" i="23" s="1"/>
  <c r="D26" i="23" s="1"/>
  <c r="F27" i="23"/>
  <c r="C27" i="23" s="1"/>
  <c r="D27" i="23" s="1"/>
  <c r="K9" i="23" l="1"/>
  <c r="K10" i="23" s="1"/>
  <c r="K11" i="23" s="1"/>
  <c r="K26" i="23"/>
  <c r="L9" i="23"/>
  <c r="L10" i="23" s="1"/>
  <c r="L11" i="23" s="1"/>
  <c r="L26" i="23"/>
  <c r="M9" i="23"/>
  <c r="M10" i="23" s="1"/>
  <c r="M11" i="23" s="1"/>
  <c r="M26" i="23"/>
  <c r="N9" i="23"/>
  <c r="N10" i="23" s="1"/>
  <c r="N11" i="23" s="1"/>
  <c r="N26" i="23"/>
  <c r="K13" i="23" l="1"/>
  <c r="J22" i="23" s="1"/>
  <c r="K28" i="23"/>
  <c r="K29" i="23" s="1"/>
  <c r="J32" i="23" s="1"/>
  <c r="I7" i="20" l="1"/>
  <c r="I8" i="20" s="1"/>
  <c r="H7" i="20"/>
  <c r="H8" i="20" s="1"/>
  <c r="G7" i="20"/>
  <c r="F7" i="20"/>
  <c r="F8" i="20" s="1"/>
  <c r="E7" i="20"/>
  <c r="D7" i="20"/>
  <c r="D8" i="20" s="1"/>
  <c r="C7" i="20"/>
  <c r="C19" i="7"/>
  <c r="C20" i="7"/>
  <c r="C21" i="7"/>
  <c r="C22" i="7"/>
  <c r="C23" i="7"/>
  <c r="C29" i="7"/>
  <c r="C30" i="7"/>
  <c r="C31" i="7"/>
  <c r="C32" i="7"/>
  <c r="C33" i="7"/>
  <c r="C34" i="7"/>
  <c r="C40" i="7"/>
  <c r="C41" i="7"/>
  <c r="C42" i="7"/>
  <c r="C43" i="7"/>
  <c r="C44" i="7"/>
  <c r="C45" i="7"/>
  <c r="C46" i="7"/>
  <c r="C6" i="19"/>
  <c r="O8" i="17"/>
  <c r="O7" i="17"/>
  <c r="P7" i="17" s="1"/>
  <c r="P13" i="17" l="1"/>
  <c r="C8" i="20"/>
  <c r="C9" i="20" s="1"/>
  <c r="C12" i="20" s="1"/>
  <c r="G8" i="20"/>
  <c r="E8" i="20"/>
  <c r="G11" i="20"/>
  <c r="H11" i="20"/>
  <c r="D9" i="20"/>
  <c r="D12" i="20" s="1"/>
  <c r="E9" i="20"/>
  <c r="E12" i="20" s="1"/>
  <c r="G9" i="20"/>
  <c r="G12" i="20" s="1"/>
  <c r="H9" i="20"/>
  <c r="H12" i="20" s="1"/>
  <c r="I9" i="20"/>
  <c r="I12" i="20" s="1"/>
  <c r="L7" i="20"/>
  <c r="F9" i="20"/>
  <c r="F12" i="20" s="1"/>
  <c r="C24" i="7"/>
  <c r="C25" i="7" s="1"/>
  <c r="C26" i="7" s="1"/>
  <c r="C47" i="7"/>
  <c r="C48" i="7" s="1"/>
  <c r="C49" i="7" s="1"/>
  <c r="C35" i="7"/>
  <c r="C36" i="7" s="1"/>
  <c r="C37" i="7" s="1"/>
  <c r="D6" i="19"/>
  <c r="P8" i="17"/>
  <c r="P10" i="17" s="1"/>
  <c r="P11" i="17" s="1"/>
  <c r="C11" i="20" l="1"/>
  <c r="J9" i="20"/>
  <c r="D11" i="20"/>
  <c r="I11" i="20"/>
  <c r="F11" i="20"/>
  <c r="E11" i="20"/>
  <c r="P14" i="17"/>
  <c r="Q14" i="17"/>
  <c r="J8" i="20" l="1"/>
  <c r="C9" i="13" l="1"/>
  <c r="C10" i="13"/>
  <c r="C14" i="13"/>
  <c r="D28" i="12" l="1"/>
  <c r="C28" i="12"/>
  <c r="D27" i="12"/>
  <c r="C27" i="12"/>
  <c r="E27" i="12" s="1"/>
  <c r="D26" i="12"/>
  <c r="C26" i="12"/>
  <c r="E26" i="12" s="1"/>
  <c r="D25" i="12"/>
  <c r="C25" i="12"/>
  <c r="E25" i="12" s="1"/>
  <c r="E24" i="12"/>
  <c r="D24" i="12"/>
  <c r="C24" i="12"/>
  <c r="D23" i="12"/>
  <c r="C23" i="12"/>
  <c r="E23" i="12" s="1"/>
  <c r="D22" i="12"/>
  <c r="C22" i="12"/>
  <c r="E22" i="12" s="1"/>
  <c r="D21" i="12"/>
  <c r="C21" i="12"/>
  <c r="E21" i="12" s="1"/>
  <c r="D20" i="12"/>
  <c r="C20" i="12"/>
  <c r="E20" i="12" s="1"/>
  <c r="D19" i="12"/>
  <c r="C19" i="12"/>
  <c r="E19" i="12" s="1"/>
  <c r="D18" i="12"/>
  <c r="C18" i="12"/>
  <c r="E18" i="12" s="1"/>
  <c r="D17" i="12"/>
  <c r="C17" i="12"/>
  <c r="E17" i="12" s="1"/>
  <c r="D16" i="12"/>
  <c r="C16" i="12"/>
  <c r="E16" i="12" s="1"/>
  <c r="E15" i="12"/>
  <c r="D15" i="12"/>
  <c r="C15" i="12"/>
  <c r="D14" i="12"/>
  <c r="C14" i="12"/>
  <c r="E14" i="12" s="1"/>
  <c r="D13" i="12"/>
  <c r="C13" i="12"/>
  <c r="E13" i="12" s="1"/>
  <c r="E12" i="12"/>
  <c r="D12" i="12"/>
  <c r="C12" i="12"/>
  <c r="D11" i="12"/>
  <c r="C11" i="12"/>
  <c r="E11" i="12" s="1"/>
  <c r="D10" i="12"/>
  <c r="C10" i="12"/>
  <c r="E10" i="12" s="1"/>
  <c r="E9" i="12"/>
  <c r="D9" i="12"/>
  <c r="C9" i="12"/>
  <c r="D8" i="12"/>
  <c r="C8" i="12"/>
  <c r="F9" i="11"/>
  <c r="F10" i="11" s="1"/>
  <c r="F11" i="11" s="1"/>
  <c r="E9" i="11"/>
  <c r="E10" i="11" s="1"/>
  <c r="E11" i="11" s="1"/>
  <c r="D9" i="11"/>
  <c r="G8" i="11"/>
  <c r="G7" i="11"/>
  <c r="C14" i="10"/>
  <c r="E14" i="10" s="1"/>
  <c r="C20" i="10"/>
  <c r="C12" i="7"/>
  <c r="C11" i="7"/>
  <c r="C10" i="7"/>
  <c r="C9" i="7"/>
  <c r="C8" i="7"/>
  <c r="G9" i="11" l="1"/>
  <c r="C13" i="7"/>
  <c r="C15" i="7" s="1"/>
  <c r="D10" i="11"/>
  <c r="D11" i="11" l="1"/>
  <c r="G11" i="11" s="1"/>
  <c r="G10" i="11"/>
  <c r="G13" i="5" l="1"/>
  <c r="H45" i="5" l="1"/>
  <c r="G45" i="5"/>
  <c r="F45" i="5"/>
  <c r="E45" i="5"/>
  <c r="D45" i="5"/>
  <c r="C45" i="5"/>
  <c r="H44" i="5"/>
  <c r="G44" i="5"/>
  <c r="F44" i="5"/>
  <c r="E44" i="5"/>
  <c r="D44" i="5"/>
  <c r="C44" i="5"/>
  <c r="H43" i="5"/>
  <c r="G43" i="5"/>
  <c r="F43" i="5"/>
  <c r="E43" i="5"/>
  <c r="D43" i="5"/>
  <c r="C43" i="5"/>
  <c r="H42" i="5"/>
  <c r="G42" i="5"/>
  <c r="F42" i="5"/>
  <c r="E42" i="5"/>
  <c r="D42" i="5"/>
  <c r="C42" i="5"/>
  <c r="H41" i="5"/>
  <c r="G41" i="5"/>
  <c r="F41" i="5"/>
  <c r="E41" i="5"/>
  <c r="D41" i="5"/>
  <c r="C41" i="5"/>
  <c r="H40" i="5"/>
  <c r="G40" i="5"/>
  <c r="F40" i="5"/>
  <c r="E40" i="5"/>
  <c r="D40" i="5"/>
  <c r="C40" i="5"/>
  <c r="H39" i="5"/>
  <c r="G39" i="5"/>
  <c r="F39" i="5"/>
  <c r="E39" i="5"/>
  <c r="D39" i="5"/>
  <c r="C39" i="5"/>
  <c r="H38" i="5"/>
  <c r="G38" i="5"/>
  <c r="F38" i="5"/>
  <c r="E38" i="5"/>
  <c r="D38" i="5"/>
  <c r="C38" i="5"/>
  <c r="H37" i="5"/>
  <c r="G37" i="5"/>
  <c r="F37" i="5"/>
  <c r="E37" i="5"/>
  <c r="D37" i="5"/>
  <c r="C37" i="5"/>
  <c r="H36" i="5"/>
  <c r="G36" i="5"/>
  <c r="F36" i="5"/>
  <c r="E36" i="5"/>
  <c r="D36" i="5"/>
  <c r="C36" i="5"/>
  <c r="H35" i="5"/>
  <c r="G35" i="5"/>
  <c r="F35" i="5"/>
  <c r="E35" i="5"/>
  <c r="D35" i="5"/>
  <c r="C35" i="5"/>
  <c r="H34" i="5"/>
  <c r="G34" i="5"/>
  <c r="F34" i="5"/>
  <c r="E34" i="5"/>
  <c r="D34" i="5"/>
  <c r="C34" i="5"/>
  <c r="H33" i="5"/>
  <c r="G33" i="5"/>
  <c r="F33" i="5"/>
  <c r="E33" i="5"/>
  <c r="D33" i="5"/>
  <c r="C33" i="5"/>
  <c r="H32" i="5"/>
  <c r="G32" i="5"/>
  <c r="F32" i="5"/>
  <c r="E32" i="5"/>
  <c r="D32" i="5"/>
  <c r="C32" i="5"/>
  <c r="H31" i="5"/>
  <c r="G31" i="5"/>
  <c r="F31" i="5"/>
  <c r="E31" i="5"/>
  <c r="D31" i="5"/>
  <c r="C31" i="5"/>
  <c r="H30" i="5"/>
  <c r="G30" i="5"/>
  <c r="F30" i="5"/>
  <c r="E30" i="5"/>
  <c r="D30" i="5"/>
  <c r="C30" i="5"/>
  <c r="H29" i="5"/>
  <c r="G29" i="5"/>
  <c r="F29" i="5"/>
  <c r="E29" i="5"/>
  <c r="D29" i="5"/>
  <c r="C29" i="5"/>
  <c r="H28" i="5"/>
  <c r="G28" i="5"/>
  <c r="F28" i="5"/>
  <c r="E28" i="5"/>
  <c r="D28" i="5"/>
  <c r="C28" i="5"/>
  <c r="H27" i="5"/>
  <c r="G27" i="5"/>
  <c r="F27" i="5"/>
  <c r="E27" i="5"/>
  <c r="D27" i="5"/>
  <c r="C27" i="5"/>
  <c r="H26" i="5"/>
  <c r="G26" i="5"/>
  <c r="F26" i="5"/>
  <c r="E26" i="5"/>
  <c r="D26" i="5"/>
  <c r="C26" i="5"/>
  <c r="H25" i="5"/>
  <c r="G25" i="5"/>
  <c r="F25" i="5"/>
  <c r="E25" i="5"/>
  <c r="D25" i="5"/>
  <c r="C25" i="5"/>
  <c r="H24" i="5"/>
  <c r="G24" i="5"/>
  <c r="F24" i="5"/>
  <c r="E24" i="5"/>
  <c r="D24" i="5"/>
  <c r="C24" i="5"/>
  <c r="H23" i="5"/>
  <c r="G23" i="5"/>
  <c r="F23" i="5"/>
  <c r="E23" i="5"/>
  <c r="D23" i="5"/>
  <c r="C23" i="5"/>
  <c r="H22" i="5"/>
  <c r="G22" i="5"/>
  <c r="F22" i="5"/>
  <c r="E22" i="5"/>
  <c r="D22" i="5"/>
  <c r="C22" i="5"/>
  <c r="H21" i="5"/>
  <c r="G21" i="5"/>
  <c r="F21" i="5"/>
  <c r="E21" i="5"/>
  <c r="D21" i="5"/>
  <c r="C21" i="5"/>
  <c r="H20" i="5"/>
  <c r="G20" i="5"/>
  <c r="F20" i="5"/>
  <c r="E20" i="5"/>
  <c r="D20" i="5"/>
  <c r="C20" i="5"/>
  <c r="H19" i="5"/>
  <c r="G19" i="5"/>
  <c r="F19" i="5"/>
  <c r="E19" i="5"/>
  <c r="D19" i="5"/>
  <c r="C19" i="5"/>
  <c r="H18" i="5"/>
  <c r="G18" i="5"/>
  <c r="F18" i="5"/>
  <c r="E18" i="5"/>
  <c r="D18" i="5"/>
  <c r="C18" i="5"/>
  <c r="H17" i="5"/>
  <c r="G17" i="5"/>
  <c r="F17" i="5"/>
  <c r="E17" i="5"/>
  <c r="D17" i="5"/>
  <c r="C17" i="5"/>
  <c r="H16" i="5"/>
  <c r="G16" i="5"/>
  <c r="F16" i="5"/>
  <c r="E16" i="5"/>
  <c r="D16" i="5"/>
  <c r="C16" i="5"/>
  <c r="H15" i="5"/>
  <c r="G15" i="5"/>
  <c r="F15" i="5"/>
  <c r="E15" i="5"/>
  <c r="D15" i="5"/>
  <c r="C15" i="5"/>
  <c r="H14" i="5"/>
  <c r="G14" i="5"/>
  <c r="F14" i="5"/>
  <c r="E14" i="5"/>
  <c r="D14" i="5"/>
  <c r="C14" i="5"/>
  <c r="H13" i="5"/>
  <c r="F13" i="5"/>
  <c r="E13" i="5"/>
  <c r="D13" i="5"/>
  <c r="C13" i="5"/>
  <c r="C11" i="2" l="1"/>
  <c r="D11" i="2"/>
  <c r="E11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C19" i="2"/>
  <c r="D19" i="2"/>
  <c r="E19" i="2"/>
  <c r="C20" i="2"/>
  <c r="D20" i="2"/>
  <c r="E20" i="2"/>
  <c r="C21" i="2"/>
  <c r="D21" i="2"/>
  <c r="E21" i="2"/>
  <c r="C22" i="2"/>
  <c r="D22" i="2"/>
  <c r="E22" i="2"/>
  <c r="C23" i="2"/>
  <c r="D23" i="2"/>
  <c r="E23" i="2"/>
  <c r="C24" i="2"/>
  <c r="D24" i="2"/>
  <c r="E24" i="2"/>
  <c r="C25" i="2"/>
  <c r="D25" i="2"/>
  <c r="E25" i="2"/>
  <c r="C26" i="2"/>
  <c r="D26" i="2"/>
  <c r="E26" i="2"/>
  <c r="C27" i="2"/>
  <c r="D27" i="2"/>
  <c r="E27" i="2"/>
  <c r="C28" i="2"/>
  <c r="D28" i="2"/>
  <c r="E28" i="2"/>
  <c r="C29" i="2"/>
  <c r="D29" i="2"/>
  <c r="E29" i="2"/>
  <c r="C30" i="2"/>
  <c r="D30" i="2"/>
  <c r="E30" i="2"/>
  <c r="C31" i="2"/>
  <c r="D31" i="2"/>
  <c r="E31" i="2"/>
  <c r="C32" i="2"/>
  <c r="D32" i="2"/>
  <c r="E32" i="2"/>
  <c r="C33" i="2"/>
  <c r="D33" i="2"/>
  <c r="E33" i="2"/>
  <c r="C34" i="2"/>
  <c r="D34" i="2"/>
  <c r="E34" i="2"/>
  <c r="C35" i="2"/>
  <c r="D35" i="2"/>
  <c r="E35" i="2"/>
  <c r="C36" i="2"/>
  <c r="D36" i="2"/>
  <c r="E36" i="2"/>
  <c r="C37" i="2"/>
  <c r="D37" i="2"/>
  <c r="E37" i="2"/>
  <c r="C38" i="2"/>
  <c r="D38" i="2"/>
  <c r="E38" i="2"/>
  <c r="C39" i="2"/>
  <c r="D39" i="2"/>
  <c r="E39" i="2"/>
  <c r="C40" i="2"/>
  <c r="D40" i="2"/>
  <c r="E40" i="2"/>
  <c r="C41" i="2"/>
  <c r="D41" i="2"/>
  <c r="E41" i="2"/>
  <c r="C42" i="2"/>
  <c r="D42" i="2"/>
  <c r="E42" i="2"/>
  <c r="C43" i="2"/>
  <c r="D43" i="2"/>
  <c r="E43" i="2"/>
  <c r="C44" i="2"/>
  <c r="D44" i="2"/>
  <c r="E44" i="2"/>
  <c r="C45" i="2"/>
  <c r="D45" i="2"/>
  <c r="E45" i="2"/>
  <c r="C46" i="2"/>
  <c r="D46" i="2"/>
  <c r="E46" i="2"/>
  <c r="C47" i="2"/>
  <c r="D47" i="2"/>
  <c r="E47" i="2"/>
  <c r="C48" i="2"/>
  <c r="D48" i="2"/>
  <c r="E48" i="2"/>
  <c r="C49" i="2"/>
  <c r="D49" i="2"/>
  <c r="E49" i="2"/>
  <c r="C50" i="2"/>
  <c r="D50" i="2"/>
  <c r="E50" i="2"/>
  <c r="C51" i="2"/>
  <c r="D51" i="2"/>
  <c r="E51" i="2"/>
  <c r="C52" i="2"/>
  <c r="D52" i="2"/>
  <c r="E52" i="2"/>
  <c r="C53" i="2"/>
  <c r="D53" i="2"/>
  <c r="E53" i="2"/>
  <c r="C54" i="2"/>
  <c r="D54" i="2"/>
  <c r="E54" i="2"/>
  <c r="C55" i="2"/>
  <c r="D55" i="2"/>
  <c r="E55" i="2"/>
  <c r="C56" i="2"/>
  <c r="D56" i="2"/>
  <c r="E56" i="2"/>
  <c r="C57" i="2"/>
  <c r="D57" i="2"/>
  <c r="E57" i="2"/>
  <c r="C58" i="2"/>
  <c r="D58" i="2"/>
  <c r="E58" i="2"/>
  <c r="C59" i="2"/>
  <c r="D59" i="2"/>
  <c r="E59" i="2"/>
  <c r="C60" i="2"/>
  <c r="D60" i="2"/>
  <c r="E60" i="2"/>
  <c r="C61" i="2"/>
  <c r="D61" i="2"/>
  <c r="E61" i="2"/>
  <c r="D12" i="2"/>
  <c r="E12" i="2"/>
  <c r="C12" i="2"/>
</calcChain>
</file>

<file path=xl/sharedStrings.xml><?xml version="1.0" encoding="utf-8"?>
<sst xmlns="http://schemas.openxmlformats.org/spreadsheetml/2006/main" count="2229" uniqueCount="286">
  <si>
    <t>n</t>
    <phoneticPr fontId="1"/>
  </si>
  <si>
    <t>m</t>
    <phoneticPr fontId="1"/>
  </si>
  <si>
    <t>下位％点</t>
    <rPh sb="0" eb="2">
      <t>カイ</t>
    </rPh>
    <rPh sb="3" eb="4">
      <t>テン</t>
    </rPh>
    <phoneticPr fontId="1"/>
  </si>
  <si>
    <t>上位％点</t>
    <rPh sb="0" eb="2">
      <t>ジョウイ</t>
    </rPh>
    <rPh sb="3" eb="4">
      <t>テン</t>
    </rPh>
    <phoneticPr fontId="1"/>
  </si>
  <si>
    <t>自由度</t>
    <rPh sb="0" eb="3">
      <t>ジユウド</t>
    </rPh>
    <phoneticPr fontId="1"/>
  </si>
  <si>
    <t>=CHISQ.INV.RT(上位累積確率,自由度)</t>
    <rPh sb="14" eb="16">
      <t>ジョウイ</t>
    </rPh>
    <rPh sb="16" eb="18">
      <t>ルイセキ</t>
    </rPh>
    <rPh sb="18" eb="20">
      <t>カクリツ</t>
    </rPh>
    <rPh sb="21" eb="24">
      <t>ジユウド</t>
    </rPh>
    <phoneticPr fontId="1"/>
  </si>
  <si>
    <t>χ2分布の累積確率の計算方法</t>
    <rPh sb="2" eb="4">
      <t>ブンプ</t>
    </rPh>
    <rPh sb="5" eb="7">
      <t>ルイセキ</t>
    </rPh>
    <rPh sb="7" eb="9">
      <t>カクリツ</t>
    </rPh>
    <rPh sb="10" eb="12">
      <t>ケイサン</t>
    </rPh>
    <rPh sb="12" eb="14">
      <t>ホウホウ</t>
    </rPh>
    <phoneticPr fontId="1"/>
  </si>
  <si>
    <t>X</t>
  </si>
  <si>
    <t>=COMBIN(20,0)</t>
  </si>
  <si>
    <t>=COMBIN(20,1)</t>
  </si>
  <si>
    <t>=COMBIN(20,2)</t>
  </si>
  <si>
    <t>=COMBIN(20,3)</t>
  </si>
  <si>
    <t>=COMBIN(20,4)</t>
  </si>
  <si>
    <t>計算式</t>
  </si>
  <si>
    <t>和</t>
  </si>
  <si>
    <r>
      <rPr>
        <vertAlign val="subscript"/>
        <sz val="12"/>
        <color rgb="FF000000"/>
        <rFont val="メイリオ"/>
        <family val="3"/>
        <charset val="128"/>
      </rPr>
      <t>20</t>
    </r>
    <r>
      <rPr>
        <sz val="12"/>
        <color theme="1"/>
        <rFont val="メイリオ"/>
        <family val="2"/>
        <charset val="128"/>
      </rPr>
      <t>C</t>
    </r>
    <r>
      <rPr>
        <vertAlign val="subscript"/>
        <sz val="12"/>
        <color rgb="FF000000"/>
        <rFont val="メイリオ"/>
        <family val="3"/>
        <charset val="128"/>
      </rPr>
      <t>X</t>
    </r>
    <phoneticPr fontId="1"/>
  </si>
  <si>
    <t>Chi2</t>
  </si>
  <si>
    <t>LR</t>
  </si>
  <si>
    <t>-2Log(LR)</t>
  </si>
  <si>
    <t># of solutions</t>
  </si>
  <si>
    <t>X1</t>
  </si>
  <si>
    <t>X2</t>
  </si>
  <si>
    <t>X3</t>
  </si>
  <si>
    <t>chi2</t>
  </si>
  <si>
    <t>*</t>
  </si>
  <si>
    <t>p (chi2)</t>
  </si>
  <si>
    <t>p (LR)</t>
  </si>
  <si>
    <t>=</t>
  </si>
  <si>
    <t>mid-p (chi2)</t>
  </si>
  <si>
    <t>mid-p (LR)</t>
  </si>
  <si>
    <t>χ2分布の累積確率</t>
    <rPh sb="2" eb="4">
      <t>ブンプ</t>
    </rPh>
    <rPh sb="5" eb="7">
      <t>ルイセキ</t>
    </rPh>
    <rPh sb="7" eb="9">
      <t>カクリツ</t>
    </rPh>
    <phoneticPr fontId="1"/>
  </si>
  <si>
    <t>データ</t>
    <phoneticPr fontId="1"/>
  </si>
  <si>
    <t>観測数</t>
    <rPh sb="0" eb="2">
      <t>カンソク</t>
    </rPh>
    <rPh sb="2" eb="3">
      <t>スウ</t>
    </rPh>
    <phoneticPr fontId="1"/>
  </si>
  <si>
    <t>期待度数</t>
    <rPh sb="0" eb="2">
      <t>キタイ</t>
    </rPh>
    <rPh sb="2" eb="4">
      <t>ドスウ</t>
    </rPh>
    <phoneticPr fontId="1"/>
  </si>
  <si>
    <t>検定統計量</t>
    <rPh sb="0" eb="2">
      <t>ケンテイ</t>
    </rPh>
    <rPh sb="2" eb="5">
      <t>トウケイリョウ</t>
    </rPh>
    <phoneticPr fontId="1"/>
  </si>
  <si>
    <t>Excel の計算式</t>
    <rPh sb="7" eb="10">
      <t>ケイサンシキ</t>
    </rPh>
    <phoneticPr fontId="1"/>
  </si>
  <si>
    <r>
      <t>【注】自由度は</t>
    </r>
    <r>
      <rPr>
        <sz val="12"/>
        <color rgb="FFFF0000"/>
        <rFont val="メイリオ"/>
        <family val="3"/>
        <charset val="128"/>
      </rPr>
      <t>２</t>
    </r>
    <rPh sb="1" eb="2">
      <t>チュウ</t>
    </rPh>
    <rPh sb="3" eb="6">
      <t>ジユウド</t>
    </rPh>
    <phoneticPr fontId="1"/>
  </si>
  <si>
    <t>=COMBIN(65,60)</t>
    <phoneticPr fontId="1"/>
  </si>
  <si>
    <t>合計</t>
    <rPh sb="0" eb="2">
      <t>ゴウケイ</t>
    </rPh>
    <phoneticPr fontId="1"/>
  </si>
  <si>
    <t>好きな果物</t>
    <rPh sb="0" eb="1">
      <t>ス</t>
    </rPh>
    <rPh sb="3" eb="5">
      <t>クダモノ</t>
    </rPh>
    <phoneticPr fontId="1"/>
  </si>
  <si>
    <t>桃</t>
    <rPh sb="0" eb="1">
      <t>モモ</t>
    </rPh>
    <phoneticPr fontId="1"/>
  </si>
  <si>
    <r>
      <t>測定度数（</t>
    </r>
    <r>
      <rPr>
        <i/>
        <sz val="12"/>
        <color rgb="FF000000"/>
        <rFont val="メイリオ"/>
        <family val="3"/>
        <charset val="128"/>
      </rPr>
      <t>x</t>
    </r>
    <r>
      <rPr>
        <sz val="12"/>
        <color theme="1"/>
        <rFont val="メイリオ"/>
        <family val="2"/>
        <charset val="128"/>
      </rPr>
      <t>）</t>
    </r>
    <rPh sb="0" eb="2">
      <t>ソクテイ</t>
    </rPh>
    <rPh sb="2" eb="4">
      <t>ドスウ</t>
    </rPh>
    <phoneticPr fontId="1"/>
  </si>
  <si>
    <r>
      <t>期待度数（</t>
    </r>
    <r>
      <rPr>
        <i/>
        <sz val="12"/>
        <color rgb="FF000000"/>
        <rFont val="メイリオ"/>
        <family val="3"/>
        <charset val="128"/>
      </rPr>
      <t>E</t>
    </r>
    <r>
      <rPr>
        <sz val="12"/>
        <color theme="1"/>
        <rFont val="メイリオ"/>
        <family val="2"/>
        <charset val="128"/>
      </rPr>
      <t>）</t>
    </r>
    <rPh sb="0" eb="2">
      <t>キタイ</t>
    </rPh>
    <rPh sb="2" eb="4">
      <t>ドスウ</t>
    </rPh>
    <phoneticPr fontId="1"/>
  </si>
  <si>
    <r>
      <t>差（</t>
    </r>
    <r>
      <rPr>
        <i/>
        <sz val="12"/>
        <color rgb="FF000000"/>
        <rFont val="メイリオ"/>
        <family val="2"/>
        <charset val="128"/>
      </rPr>
      <t>x</t>
    </r>
    <r>
      <rPr>
        <sz val="12"/>
        <color theme="1"/>
        <rFont val="メイリオ"/>
        <family val="2"/>
        <charset val="128"/>
      </rPr>
      <t>-</t>
    </r>
    <r>
      <rPr>
        <i/>
        <sz val="12"/>
        <color rgb="FF000000"/>
        <rFont val="メイリオ"/>
        <family val="2"/>
        <charset val="128"/>
      </rPr>
      <t>E</t>
    </r>
    <r>
      <rPr>
        <sz val="12"/>
        <color theme="1"/>
        <rFont val="メイリオ"/>
        <family val="2"/>
        <charset val="128"/>
      </rPr>
      <t>）</t>
    </r>
    <rPh sb="0" eb="1">
      <t>サ</t>
    </rPh>
    <phoneticPr fontId="1"/>
  </si>
  <si>
    <t>イチゴ</t>
    <phoneticPr fontId="1"/>
  </si>
  <si>
    <t>みかん</t>
    <phoneticPr fontId="1"/>
  </si>
  <si>
    <r>
      <t>(x</t>
    </r>
    <r>
      <rPr>
        <sz val="12"/>
        <color theme="1"/>
        <rFont val="メイリオ"/>
        <family val="2"/>
        <charset val="128"/>
      </rPr>
      <t>-E)</t>
    </r>
    <r>
      <rPr>
        <vertAlign val="superscript"/>
        <sz val="12"/>
        <color rgb="FF000000"/>
        <rFont val="メイリオ"/>
        <family val="3"/>
        <charset val="128"/>
      </rPr>
      <t>2</t>
    </r>
    <phoneticPr fontId="1"/>
  </si>
  <si>
    <r>
      <t>(x</t>
    </r>
    <r>
      <rPr>
        <sz val="12"/>
        <color theme="1"/>
        <rFont val="メイリオ"/>
        <family val="2"/>
        <charset val="128"/>
      </rPr>
      <t>-E)</t>
    </r>
    <r>
      <rPr>
        <vertAlign val="superscript"/>
        <sz val="12"/>
        <color rgb="FF000000"/>
        <rFont val="メイリオ"/>
        <family val="3"/>
        <charset val="128"/>
      </rPr>
      <t>2</t>
    </r>
    <r>
      <rPr>
        <sz val="12"/>
        <color theme="1"/>
        <rFont val="メイリオ"/>
        <family val="2"/>
        <charset val="128"/>
      </rPr>
      <t>/E</t>
    </r>
    <phoneticPr fontId="1"/>
  </si>
  <si>
    <t>緑色のセルにカーソルを合わせると数式が見られます</t>
    <rPh sb="0" eb="2">
      <t>ミドリイロ</t>
    </rPh>
    <rPh sb="11" eb="12">
      <t>ア</t>
    </rPh>
    <rPh sb="16" eb="18">
      <t>スウシキ</t>
    </rPh>
    <rPh sb="19" eb="20">
      <t>ミ</t>
    </rPh>
    <phoneticPr fontId="1"/>
  </si>
  <si>
    <t>likelihood</t>
    <phoneticPr fontId="1"/>
  </si>
  <si>
    <t>p</t>
    <phoneticPr fontId="1"/>
  </si>
  <si>
    <t>log(L)</t>
    <phoneticPr fontId="1"/>
  </si>
  <si>
    <t>図8.2</t>
    <rPh sb="0" eb="1">
      <t>ズ</t>
    </rPh>
    <phoneticPr fontId="1"/>
  </si>
  <si>
    <t>X=3</t>
    <phoneticPr fontId="1"/>
  </si>
  <si>
    <t>X=5</t>
    <phoneticPr fontId="1"/>
  </si>
  <si>
    <t>尤度関数の計算例とそのグラフ
（n=10; X=3 &amp; X=5）</t>
    <rPh sb="0" eb="2">
      <t>ユウド</t>
    </rPh>
    <rPh sb="2" eb="4">
      <t>カンスウ</t>
    </rPh>
    <rPh sb="5" eb="8">
      <t>ケイサンレイ</t>
    </rPh>
    <phoneticPr fontId="1"/>
  </si>
  <si>
    <t>lower</t>
    <phoneticPr fontId="1"/>
  </si>
  <si>
    <t>uuper</t>
    <phoneticPr fontId="1"/>
  </si>
  <si>
    <t>data</t>
    <phoneticPr fontId="1"/>
  </si>
  <si>
    <t>下位2.5%点</t>
    <rPh sb="0" eb="2">
      <t>カイ</t>
    </rPh>
    <rPh sb="6" eb="7">
      <t>テン</t>
    </rPh>
    <phoneticPr fontId="1"/>
  </si>
  <si>
    <t>上位2.5%点</t>
    <rPh sb="0" eb="2">
      <t>ジョウイ</t>
    </rPh>
    <rPh sb="6" eb="7">
      <t>テン</t>
    </rPh>
    <phoneticPr fontId="1"/>
  </si>
  <si>
    <t>=CHISQ.INV.RT(0.975,1)</t>
    <phoneticPr fontId="1"/>
  </si>
  <si>
    <t>=CHISQ.INV.RT(0.025,1)</t>
    <phoneticPr fontId="1"/>
  </si>
  <si>
    <t>自由度１のχ2分布</t>
    <rPh sb="0" eb="3">
      <t>ジユウド</t>
    </rPh>
    <rPh sb="7" eb="9">
      <t>ブンプ</t>
    </rPh>
    <phoneticPr fontId="1"/>
  </si>
  <si>
    <t>母分散の95%信頼区間</t>
    <rPh sb="0" eb="3">
      <t>ボブンサン</t>
    </rPh>
    <rPh sb="7" eb="9">
      <t>シンライ</t>
    </rPh>
    <rPh sb="9" eb="11">
      <t>クカン</t>
    </rPh>
    <phoneticPr fontId="1"/>
  </si>
  <si>
    <t>表9.2</t>
    <rPh sb="0" eb="1">
      <t>ヒョウ</t>
    </rPh>
    <phoneticPr fontId="1"/>
  </si>
  <si>
    <t>結果</t>
    <rPh sb="0" eb="2">
      <t>ケッカ</t>
    </rPh>
    <phoneticPr fontId="1"/>
  </si>
  <si>
    <t>死亡</t>
  </si>
  <si>
    <t>生存</t>
  </si>
  <si>
    <t>計</t>
    <rPh sb="0" eb="1">
      <t>ケイ</t>
    </rPh>
    <phoneticPr fontId="1"/>
  </si>
  <si>
    <t>介入</t>
    <rPh sb="0" eb="2">
      <t>カイニュウ</t>
    </rPh>
    <phoneticPr fontId="1"/>
  </si>
  <si>
    <t>新薬投与</t>
    <rPh sb="0" eb="2">
      <t>シンヤク</t>
    </rPh>
    <phoneticPr fontId="1"/>
  </si>
  <si>
    <t>安静療法</t>
  </si>
  <si>
    <t>推定結果</t>
    <rPh sb="0" eb="2">
      <t>スイテイ</t>
    </rPh>
    <rPh sb="2" eb="4">
      <t>ケッカ</t>
    </rPh>
    <phoneticPr fontId="1"/>
  </si>
  <si>
    <t>ミルク</t>
    <phoneticPr fontId="1"/>
  </si>
  <si>
    <t>お茶</t>
    <rPh sb="1" eb="2">
      <t>チャ</t>
    </rPh>
    <phoneticPr fontId="1"/>
  </si>
  <si>
    <t>実際</t>
    <rPh sb="0" eb="2">
      <t>ジッサイ</t>
    </rPh>
    <phoneticPr fontId="1"/>
  </si>
  <si>
    <t>手計算</t>
    <rPh sb="0" eb="1">
      <t>テ</t>
    </rPh>
    <rPh sb="1" eb="3">
      <t>ケイサン</t>
    </rPh>
    <phoneticPr fontId="1"/>
  </si>
  <si>
    <t>p</t>
    <phoneticPr fontId="1"/>
  </si>
  <si>
    <t>V</t>
    <phoneticPr fontId="1"/>
  </si>
  <si>
    <t>Ｖ</t>
    <phoneticPr fontId="1"/>
  </si>
  <si>
    <t>SD</t>
    <phoneticPr fontId="1"/>
  </si>
  <si>
    <t>dp</t>
    <phoneticPr fontId="1"/>
  </si>
  <si>
    <t>CI</t>
    <phoneticPr fontId="1"/>
  </si>
  <si>
    <t>X</t>
    <phoneticPr fontId="1"/>
  </si>
  <si>
    <t>p</t>
    <phoneticPr fontId="1"/>
  </si>
  <si>
    <t>片側ｐ値</t>
    <rPh sb="0" eb="2">
      <t>カタガワ</t>
    </rPh>
    <rPh sb="3" eb="4">
      <t>アタイ</t>
    </rPh>
    <phoneticPr fontId="1"/>
  </si>
  <si>
    <t>計算式</t>
    <rPh sb="0" eb="3">
      <t>ケイサンシキ</t>
    </rPh>
    <phoneticPr fontId="1"/>
  </si>
  <si>
    <t>和</t>
    <rPh sb="0" eb="1">
      <t>ワ</t>
    </rPh>
    <phoneticPr fontId="1"/>
  </si>
  <si>
    <t>X</t>
    <phoneticPr fontId="1"/>
  </si>
  <si>
    <r>
      <rPr>
        <vertAlign val="subscript"/>
        <sz val="12"/>
        <color theme="1"/>
        <rFont val="メイリオ"/>
        <family val="3"/>
        <charset val="128"/>
      </rPr>
      <t>20</t>
    </r>
    <r>
      <rPr>
        <sz val="12"/>
        <color theme="1"/>
        <rFont val="メイリオ"/>
        <family val="2"/>
        <charset val="128"/>
      </rPr>
      <t>C</t>
    </r>
    <r>
      <rPr>
        <vertAlign val="subscript"/>
        <sz val="12"/>
        <color theme="1"/>
        <rFont val="メイリオ"/>
        <family val="3"/>
        <charset val="128"/>
      </rPr>
      <t>X</t>
    </r>
    <phoneticPr fontId="1"/>
  </si>
  <si>
    <t>=COMBIN(20,0)</t>
    <phoneticPr fontId="1"/>
  </si>
  <si>
    <t>p</t>
    <phoneticPr fontId="1"/>
  </si>
  <si>
    <t>2p</t>
    <phoneticPr fontId="1"/>
  </si>
  <si>
    <t>X</t>
    <phoneticPr fontId="1"/>
  </si>
  <si>
    <r>
      <rPr>
        <vertAlign val="subscript"/>
        <sz val="12"/>
        <color theme="1"/>
        <rFont val="メイリオ"/>
        <family val="3"/>
        <charset val="128"/>
      </rPr>
      <t>20</t>
    </r>
    <r>
      <rPr>
        <sz val="12"/>
        <color theme="1"/>
        <rFont val="メイリオ"/>
        <family val="2"/>
        <charset val="128"/>
      </rPr>
      <t>C</t>
    </r>
    <r>
      <rPr>
        <vertAlign val="subscript"/>
        <sz val="12"/>
        <color theme="1"/>
        <rFont val="メイリオ"/>
        <family val="3"/>
        <charset val="128"/>
      </rPr>
      <t>X</t>
    </r>
    <phoneticPr fontId="1"/>
  </si>
  <si>
    <t>=COMBIN(20,0)</t>
    <phoneticPr fontId="1"/>
  </si>
  <si>
    <t>=COMBIN(20,5)</t>
  </si>
  <si>
    <t>=COMBIN(20,0)</t>
    <phoneticPr fontId="1"/>
  </si>
  <si>
    <t>=COMBIN(20,6)</t>
  </si>
  <si>
    <r>
      <rPr>
        <i/>
        <sz val="12"/>
        <color theme="1"/>
        <rFont val="メイリオ"/>
        <family val="3"/>
        <charset val="128"/>
      </rPr>
      <t>n</t>
    </r>
    <r>
      <rPr>
        <vertAlign val="subscript"/>
        <sz val="12"/>
        <color theme="1"/>
        <rFont val="メイリオ"/>
        <family val="3"/>
        <charset val="128"/>
      </rPr>
      <t>11</t>
    </r>
    <phoneticPr fontId="1"/>
  </si>
  <si>
    <t>検算</t>
    <rPh sb="0" eb="2">
      <t>ケンザン</t>
    </rPh>
    <phoneticPr fontId="1"/>
  </si>
  <si>
    <r>
      <t>Pr(</t>
    </r>
    <r>
      <rPr>
        <i/>
        <sz val="12"/>
        <color theme="1"/>
        <rFont val="メイリオ"/>
        <family val="3"/>
        <charset val="128"/>
      </rPr>
      <t>n</t>
    </r>
    <r>
      <rPr>
        <vertAlign val="subscript"/>
        <sz val="12"/>
        <color theme="1"/>
        <rFont val="メイリオ"/>
        <family val="3"/>
        <charset val="128"/>
      </rPr>
      <t>11</t>
    </r>
    <r>
      <rPr>
        <sz val="12"/>
        <color theme="1"/>
        <rFont val="メイリオ"/>
        <family val="2"/>
        <charset val="128"/>
      </rPr>
      <t>)</t>
    </r>
    <phoneticPr fontId="1"/>
  </si>
  <si>
    <t>p-値</t>
    <rPh sb="2" eb="3">
      <t>アタイ</t>
    </rPh>
    <phoneticPr fontId="1"/>
  </si>
  <si>
    <t>mid-p値</t>
    <rPh sb="5" eb="6">
      <t>アタイ</t>
    </rPh>
    <phoneticPr fontId="1"/>
  </si>
  <si>
    <t>p-value*Pr</t>
    <phoneticPr fontId="1"/>
  </si>
  <si>
    <t>mid-p*Pr</t>
    <phoneticPr fontId="1"/>
  </si>
  <si>
    <t>ｐ値</t>
    <rPh sb="1" eb="2">
      <t>アタイ</t>
    </rPh>
    <phoneticPr fontId="1"/>
  </si>
  <si>
    <r>
      <t>n</t>
    </r>
    <r>
      <rPr>
        <vertAlign val="subscript"/>
        <sz val="12"/>
        <color theme="1"/>
        <rFont val="メイリオ"/>
        <family val="3"/>
        <charset val="128"/>
      </rPr>
      <t>11</t>
    </r>
    <phoneticPr fontId="1"/>
  </si>
  <si>
    <r>
      <t>n</t>
    </r>
    <r>
      <rPr>
        <vertAlign val="subscript"/>
        <sz val="12"/>
        <color theme="1"/>
        <rFont val="メイリオ"/>
        <family val="3"/>
        <charset val="128"/>
      </rPr>
      <t>12</t>
    </r>
    <phoneticPr fontId="1"/>
  </si>
  <si>
    <t>Fisher</t>
    <phoneticPr fontId="1"/>
  </si>
  <si>
    <r>
      <t>n</t>
    </r>
    <r>
      <rPr>
        <vertAlign val="subscript"/>
        <sz val="12"/>
        <color theme="1"/>
        <rFont val="メイリオ"/>
        <family val="3"/>
        <charset val="128"/>
      </rPr>
      <t>21</t>
    </r>
    <phoneticPr fontId="1"/>
  </si>
  <si>
    <r>
      <t>n</t>
    </r>
    <r>
      <rPr>
        <vertAlign val="subscript"/>
        <sz val="12"/>
        <color theme="1"/>
        <rFont val="メイリオ"/>
        <family val="3"/>
        <charset val="128"/>
      </rPr>
      <t>22</t>
    </r>
    <phoneticPr fontId="1"/>
  </si>
  <si>
    <t>χ2検定</t>
    <rPh sb="2" eb="4">
      <t>ケンテイ</t>
    </rPh>
    <phoneticPr fontId="1"/>
  </si>
  <si>
    <t>LR検算</t>
    <rPh sb="2" eb="4">
      <t>ケンザン</t>
    </rPh>
    <phoneticPr fontId="1"/>
  </si>
  <si>
    <t>セルの位置</t>
    <rPh sb="3" eb="5">
      <t>イチ</t>
    </rPh>
    <phoneticPr fontId="17"/>
  </si>
  <si>
    <t>左上</t>
    <rPh sb="0" eb="2">
      <t>ヒダリウエ</t>
    </rPh>
    <phoneticPr fontId="17"/>
  </si>
  <si>
    <t>右上</t>
    <rPh sb="0" eb="2">
      <t>ミギウエ</t>
    </rPh>
    <phoneticPr fontId="17"/>
  </si>
  <si>
    <t>左下</t>
    <rPh sb="0" eb="2">
      <t>ヒダリシタ</t>
    </rPh>
    <phoneticPr fontId="17"/>
  </si>
  <si>
    <t>右下</t>
    <rPh sb="0" eb="2">
      <t>ミギシタ</t>
    </rPh>
    <phoneticPr fontId="17"/>
  </si>
  <si>
    <r>
      <t>観測度数（</t>
    </r>
    <r>
      <rPr>
        <i/>
        <sz val="12"/>
        <color rgb="FF000000"/>
        <rFont val="メイリオ"/>
        <family val="3"/>
        <charset val="128"/>
      </rPr>
      <t>O</t>
    </r>
    <r>
      <rPr>
        <sz val="12"/>
        <color rgb="FF000000"/>
        <rFont val="メイリオ"/>
        <family val="3"/>
        <charset val="128"/>
      </rPr>
      <t>）</t>
    </r>
    <rPh sb="0" eb="2">
      <t>カンソク</t>
    </rPh>
    <rPh sb="2" eb="4">
      <t>ドスウ</t>
    </rPh>
    <phoneticPr fontId="17"/>
  </si>
  <si>
    <r>
      <t>期待度数（</t>
    </r>
    <r>
      <rPr>
        <i/>
        <sz val="12"/>
        <color rgb="FF000000"/>
        <rFont val="メイリオ"/>
        <family val="3"/>
        <charset val="128"/>
      </rPr>
      <t>E</t>
    </r>
    <r>
      <rPr>
        <sz val="12"/>
        <color rgb="FF000000"/>
        <rFont val="メイリオ"/>
        <family val="3"/>
        <charset val="128"/>
      </rPr>
      <t>）</t>
    </r>
    <rPh sb="0" eb="2">
      <t>キタイ</t>
    </rPh>
    <rPh sb="2" eb="4">
      <t>ドスウ</t>
    </rPh>
    <phoneticPr fontId="17"/>
  </si>
  <si>
    <r>
      <t>差（</t>
    </r>
    <r>
      <rPr>
        <i/>
        <sz val="12"/>
        <color rgb="FF000000"/>
        <rFont val="メイリオ"/>
        <family val="3"/>
        <charset val="128"/>
      </rPr>
      <t>O</t>
    </r>
    <r>
      <rPr>
        <sz val="12"/>
        <color rgb="FF000000"/>
        <rFont val="メイリオ"/>
        <family val="3"/>
        <charset val="128"/>
      </rPr>
      <t>－</t>
    </r>
    <r>
      <rPr>
        <i/>
        <sz val="12"/>
        <color rgb="FF000000"/>
        <rFont val="メイリオ"/>
        <family val="3"/>
        <charset val="128"/>
      </rPr>
      <t>E</t>
    </r>
    <r>
      <rPr>
        <sz val="12"/>
        <color rgb="FF000000"/>
        <rFont val="メイリオ"/>
        <family val="3"/>
        <charset val="128"/>
      </rPr>
      <t>）</t>
    </r>
    <rPh sb="0" eb="1">
      <t>サ</t>
    </rPh>
    <phoneticPr fontId="17"/>
  </si>
  <si>
    <t>n11</t>
  </si>
  <si>
    <t>n12</t>
  </si>
  <si>
    <t>n21</t>
  </si>
  <si>
    <t>n22</t>
  </si>
  <si>
    <t>E11</t>
  </si>
  <si>
    <t>E12</t>
  </si>
  <si>
    <t>E21</t>
  </si>
  <si>
    <t>E22</t>
  </si>
  <si>
    <t>死亡率</t>
    <rPh sb="0" eb="3">
      <t>シボウリツ</t>
    </rPh>
    <phoneticPr fontId="1"/>
  </si>
  <si>
    <r>
      <t>（</t>
    </r>
    <r>
      <rPr>
        <i/>
        <sz val="12"/>
        <color rgb="FF000000"/>
        <rFont val="メイリオ"/>
        <family val="3"/>
        <charset val="128"/>
      </rPr>
      <t>O</t>
    </r>
    <r>
      <rPr>
        <sz val="12"/>
        <color rgb="FF000000"/>
        <rFont val="メイリオ"/>
        <family val="3"/>
        <charset val="128"/>
      </rPr>
      <t>－</t>
    </r>
    <r>
      <rPr>
        <i/>
        <sz val="12"/>
        <color rgb="FF000000"/>
        <rFont val="メイリオ"/>
        <family val="3"/>
        <charset val="128"/>
      </rPr>
      <t>E</t>
    </r>
    <r>
      <rPr>
        <sz val="12"/>
        <color rgb="FF000000"/>
        <rFont val="メイリオ"/>
        <family val="3"/>
        <charset val="128"/>
      </rPr>
      <t>）</t>
    </r>
    <r>
      <rPr>
        <vertAlign val="superscript"/>
        <sz val="12"/>
        <color rgb="FF000000"/>
        <rFont val="メイリオ"/>
        <family val="3"/>
        <charset val="128"/>
      </rPr>
      <t>2</t>
    </r>
    <phoneticPr fontId="1"/>
  </si>
  <si>
    <r>
      <t>（</t>
    </r>
    <r>
      <rPr>
        <i/>
        <sz val="12"/>
        <color rgb="FF000000"/>
        <rFont val="メイリオ"/>
        <family val="3"/>
        <charset val="128"/>
      </rPr>
      <t>O</t>
    </r>
    <r>
      <rPr>
        <sz val="12"/>
        <color rgb="FF000000"/>
        <rFont val="メイリオ"/>
        <family val="3"/>
        <charset val="128"/>
      </rPr>
      <t>－</t>
    </r>
    <r>
      <rPr>
        <i/>
        <sz val="12"/>
        <color rgb="FF000000"/>
        <rFont val="メイリオ"/>
        <family val="3"/>
        <charset val="128"/>
      </rPr>
      <t>E</t>
    </r>
    <r>
      <rPr>
        <sz val="12"/>
        <color rgb="FF000000"/>
        <rFont val="メイリオ"/>
        <family val="3"/>
        <charset val="128"/>
      </rPr>
      <t>）</t>
    </r>
    <r>
      <rPr>
        <vertAlign val="superscript"/>
        <sz val="12"/>
        <color rgb="FF000000"/>
        <rFont val="メイリオ"/>
        <family val="3"/>
        <charset val="128"/>
      </rPr>
      <t>2</t>
    </r>
    <r>
      <rPr>
        <sz val="12"/>
        <color rgb="FF000000"/>
        <rFont val="メイリオ"/>
        <family val="3"/>
        <charset val="128"/>
      </rPr>
      <t>/E</t>
    </r>
    <phoneticPr fontId="1"/>
  </si>
  <si>
    <t>LR</t>
    <phoneticPr fontId="1"/>
  </si>
  <si>
    <t>LR_chi2</t>
    <phoneticPr fontId="1"/>
  </si>
  <si>
    <t>chi2</t>
    <phoneticPr fontId="1"/>
  </si>
  <si>
    <t>=DEVSQ(C6:C7)/CHISQ.INV.RT(0.025,1)</t>
    <phoneticPr fontId="1"/>
  </si>
  <si>
    <t>=DEVSQ(C6:C7)/CHISQ.INV.RT(0.975,1)</t>
    <phoneticPr fontId="1"/>
  </si>
  <si>
    <t>ｐの95%信頼区間</t>
    <rPh sb="5" eb="7">
      <t>シンライ</t>
    </rPh>
    <rPh sb="7" eb="9">
      <t>クカン</t>
    </rPh>
    <phoneticPr fontId="1"/>
  </si>
  <si>
    <t>推定法</t>
    <rPh sb="0" eb="3">
      <t>スイテイホウ</t>
    </rPh>
    <phoneticPr fontId="1"/>
  </si>
  <si>
    <t>下限</t>
    <rPh sb="0" eb="2">
      <t>カゲン</t>
    </rPh>
    <phoneticPr fontId="1"/>
  </si>
  <si>
    <t>上限</t>
    <rPh sb="0" eb="2">
      <t>ジョウゲン</t>
    </rPh>
    <phoneticPr fontId="1"/>
  </si>
  <si>
    <t>Clopper-Pearson</t>
    <phoneticPr fontId="1"/>
  </si>
  <si>
    <t>Wilson</t>
    <phoneticPr fontId="1"/>
  </si>
  <si>
    <t>adjusted Wald</t>
    <phoneticPr fontId="1"/>
  </si>
  <si>
    <t>手計算による検算</t>
    <rPh sb="0" eb="1">
      <t>テ</t>
    </rPh>
    <rPh sb="1" eb="3">
      <t>ケイサン</t>
    </rPh>
    <rPh sb="6" eb="8">
      <t>ケンザン</t>
    </rPh>
    <phoneticPr fontId="1"/>
  </si>
  <si>
    <t>イチゴ</t>
    <phoneticPr fontId="1"/>
  </si>
  <si>
    <t>みかん</t>
    <phoneticPr fontId="1"/>
  </si>
  <si>
    <r>
      <t>測定度数（</t>
    </r>
    <r>
      <rPr>
        <i/>
        <sz val="12"/>
        <color theme="1"/>
        <rFont val="メイリオ"/>
        <family val="3"/>
        <charset val="128"/>
      </rPr>
      <t>x</t>
    </r>
    <r>
      <rPr>
        <sz val="12"/>
        <color theme="1"/>
        <rFont val="メイリオ"/>
        <family val="2"/>
        <charset val="128"/>
      </rPr>
      <t>）</t>
    </r>
    <rPh sb="0" eb="2">
      <t>ソクテイ</t>
    </rPh>
    <rPh sb="2" eb="4">
      <t>ドスウ</t>
    </rPh>
    <phoneticPr fontId="1"/>
  </si>
  <si>
    <r>
      <t>期待度数（</t>
    </r>
    <r>
      <rPr>
        <i/>
        <sz val="12"/>
        <color theme="1"/>
        <rFont val="メイリオ"/>
        <family val="3"/>
        <charset val="128"/>
      </rPr>
      <t>E</t>
    </r>
    <r>
      <rPr>
        <sz val="12"/>
        <color theme="1"/>
        <rFont val="メイリオ"/>
        <family val="2"/>
        <charset val="128"/>
      </rPr>
      <t>）</t>
    </r>
    <rPh sb="0" eb="2">
      <t>キタイ</t>
    </rPh>
    <rPh sb="2" eb="4">
      <t>ドスウ</t>
    </rPh>
    <phoneticPr fontId="1"/>
  </si>
  <si>
    <r>
      <t>差（</t>
    </r>
    <r>
      <rPr>
        <i/>
        <sz val="12"/>
        <color theme="1"/>
        <rFont val="メイリオ"/>
        <family val="2"/>
        <charset val="128"/>
      </rPr>
      <t>x</t>
    </r>
    <r>
      <rPr>
        <sz val="12"/>
        <color theme="1"/>
        <rFont val="メイリオ"/>
        <family val="2"/>
        <charset val="128"/>
      </rPr>
      <t>-</t>
    </r>
    <r>
      <rPr>
        <i/>
        <sz val="12"/>
        <color theme="1"/>
        <rFont val="メイリオ"/>
        <family val="2"/>
        <charset val="128"/>
      </rPr>
      <t>E</t>
    </r>
    <r>
      <rPr>
        <sz val="12"/>
        <color theme="1"/>
        <rFont val="メイリオ"/>
        <family val="2"/>
        <charset val="128"/>
      </rPr>
      <t>）</t>
    </r>
    <rPh sb="0" eb="1">
      <t>サ</t>
    </rPh>
    <phoneticPr fontId="1"/>
  </si>
  <si>
    <r>
      <t>(x</t>
    </r>
    <r>
      <rPr>
        <sz val="12"/>
        <color theme="1"/>
        <rFont val="メイリオ"/>
        <family val="2"/>
        <charset val="128"/>
      </rPr>
      <t>-E)</t>
    </r>
    <r>
      <rPr>
        <vertAlign val="superscript"/>
        <sz val="12"/>
        <color theme="1"/>
        <rFont val="メイリオ"/>
        <family val="3"/>
        <charset val="128"/>
      </rPr>
      <t>2</t>
    </r>
    <phoneticPr fontId="1"/>
  </si>
  <si>
    <r>
      <t>(x</t>
    </r>
    <r>
      <rPr>
        <sz val="12"/>
        <color theme="1"/>
        <rFont val="メイリオ"/>
        <family val="2"/>
        <charset val="128"/>
      </rPr>
      <t>-E)</t>
    </r>
    <r>
      <rPr>
        <vertAlign val="superscript"/>
        <sz val="12"/>
        <color theme="1"/>
        <rFont val="メイリオ"/>
        <family val="3"/>
        <charset val="128"/>
      </rPr>
      <t>2</t>
    </r>
    <r>
      <rPr>
        <sz val="12"/>
        <color theme="1"/>
        <rFont val="メイリオ"/>
        <family val="2"/>
        <charset val="128"/>
      </rPr>
      <t>/E</t>
    </r>
    <phoneticPr fontId="1"/>
  </si>
  <si>
    <t>漸近ｐ値</t>
    <rPh sb="0" eb="2">
      <t>ゼンキン</t>
    </rPh>
    <rPh sb="3" eb="4">
      <t>アタイ</t>
    </rPh>
    <phoneticPr fontId="1"/>
  </si>
  <si>
    <t>↓</t>
    <phoneticPr fontId="1"/>
  </si>
  <si>
    <t>↓</t>
    <phoneticPr fontId="1"/>
  </si>
  <si>
    <t>(E/x)^x</t>
    <phoneticPr fontId="1"/>
  </si>
  <si>
    <t>カテゴリ数</t>
    <rPh sb="4" eb="5">
      <t>スウ</t>
    </rPh>
    <phoneticPr fontId="1"/>
  </si>
  <si>
    <t>総数</t>
    <rPh sb="0" eb="2">
      <t>ソウスウ</t>
    </rPh>
    <phoneticPr fontId="1"/>
  </si>
  <si>
    <t>可能解の個数</t>
    <rPh sb="0" eb="2">
      <t>カノウ</t>
    </rPh>
    <rPh sb="2" eb="3">
      <t>カイ</t>
    </rPh>
    <rPh sb="4" eb="6">
      <t>コスウ</t>
    </rPh>
    <phoneticPr fontId="1"/>
  </si>
  <si>
    <t>上位2.5%点</t>
    <rPh sb="0" eb="2">
      <t>ジョウイ</t>
    </rPh>
    <rPh sb="6" eb="7">
      <t>テン</t>
    </rPh>
    <phoneticPr fontId="1"/>
  </si>
  <si>
    <t>正規分布</t>
    <rPh sb="0" eb="2">
      <t>セイキ</t>
    </rPh>
    <rPh sb="2" eb="4">
      <t>ブンプ</t>
    </rPh>
    <phoneticPr fontId="1"/>
  </si>
  <si>
    <t>χ2分布</t>
    <rPh sb="2" eb="4">
      <t>ブンプ</t>
    </rPh>
    <phoneticPr fontId="1"/>
  </si>
  <si>
    <t>上位5%点</t>
    <rPh sb="0" eb="2">
      <t>ジョウイ</t>
    </rPh>
    <rPh sb="4" eb="5">
      <t>テン</t>
    </rPh>
    <phoneticPr fontId="1"/>
  </si>
  <si>
    <t>=SUM(B6:B10)</t>
    <phoneticPr fontId="1"/>
  </si>
  <si>
    <t>正確法によるｐ値の計算結果</t>
    <rPh sb="0" eb="2">
      <t>セイカク</t>
    </rPh>
    <rPh sb="2" eb="3">
      <t>ホウ</t>
    </rPh>
    <rPh sb="7" eb="8">
      <t>アタイ</t>
    </rPh>
    <rPh sb="9" eb="11">
      <t>ケイサン</t>
    </rPh>
    <rPh sb="11" eb="13">
      <t>ケッカ</t>
    </rPh>
    <phoneticPr fontId="1"/>
  </si>
  <si>
    <t>プログラムによる検定統計量の計算結果</t>
    <rPh sb="8" eb="10">
      <t>ケンテイ</t>
    </rPh>
    <rPh sb="10" eb="13">
      <t>トウケイリョウ</t>
    </rPh>
    <rPh sb="14" eb="16">
      <t>ケイサン</t>
    </rPh>
    <rPh sb="16" eb="18">
      <t>ケッカ</t>
    </rPh>
    <phoneticPr fontId="1"/>
  </si>
  <si>
    <t>各可能解の確率</t>
    <rPh sb="0" eb="1">
      <t>カク</t>
    </rPh>
    <rPh sb="1" eb="3">
      <t>カノウ</t>
    </rPh>
    <rPh sb="3" eb="4">
      <t>カイ</t>
    </rPh>
    <rPh sb="5" eb="7">
      <t>カクリツ</t>
    </rPh>
    <phoneticPr fontId="1"/>
  </si>
  <si>
    <t>χ2の値</t>
    <rPh sb="3" eb="4">
      <t>アタイ</t>
    </rPh>
    <phoneticPr fontId="1"/>
  </si>
  <si>
    <t>尤度比</t>
    <rPh sb="0" eb="3">
      <t>ユウドヒ</t>
    </rPh>
    <phoneticPr fontId="1"/>
  </si>
  <si>
    <t>ｐ値の計算方法</t>
    <rPh sb="1" eb="2">
      <t>アタイ</t>
    </rPh>
    <rPh sb="3" eb="5">
      <t>ケイサン</t>
    </rPh>
    <rPh sb="5" eb="7">
      <t>ホウホウ</t>
    </rPh>
    <phoneticPr fontId="1"/>
  </si>
  <si>
    <t>プログラムによる計算結果の詳細</t>
    <rPh sb="8" eb="10">
      <t>ケイサン</t>
    </rPh>
    <rPh sb="10" eb="12">
      <t>ケッカ</t>
    </rPh>
    <rPh sb="13" eb="15">
      <t>ショウサイ</t>
    </rPh>
    <phoneticPr fontId="1"/>
  </si>
  <si>
    <t>別な検算(LR)</t>
    <rPh sb="0" eb="1">
      <t>ベツ</t>
    </rPh>
    <rPh sb="2" eb="4">
      <t>ケンザン</t>
    </rPh>
    <phoneticPr fontId="1"/>
  </si>
  <si>
    <t>540行以降に検算あり</t>
    <rPh sb="3" eb="4">
      <t>ギョウ</t>
    </rPh>
    <rPh sb="4" eb="6">
      <t>イコウ</t>
    </rPh>
    <rPh sb="7" eb="9">
      <t>ケンザン</t>
    </rPh>
    <phoneticPr fontId="1"/>
  </si>
  <si>
    <t>独立性の検定の可能解の個数</t>
    <rPh sb="0" eb="3">
      <t>ドクリツセイ</t>
    </rPh>
    <rPh sb="4" eb="6">
      <t>ケンテイ</t>
    </rPh>
    <rPh sb="7" eb="10">
      <t>カノウカイ</t>
    </rPh>
    <rPh sb="11" eb="13">
      <t>コスウ</t>
    </rPh>
    <phoneticPr fontId="1"/>
  </si>
  <si>
    <t>一様性の検定の可能解の個数</t>
    <rPh sb="0" eb="3">
      <t>イチヨウセイ</t>
    </rPh>
    <rPh sb="4" eb="6">
      <t>ケンテイ</t>
    </rPh>
    <rPh sb="7" eb="10">
      <t>カノウカイ</t>
    </rPh>
    <rPh sb="11" eb="13">
      <t>コスウ</t>
    </rPh>
    <phoneticPr fontId="1"/>
  </si>
  <si>
    <t>表9.1</t>
    <rPh sb="0" eb="1">
      <t>ヒョウ</t>
    </rPh>
    <phoneticPr fontId="1"/>
  </si>
  <si>
    <t>表9.2</t>
    <rPh sb="0" eb="1">
      <t>ヒョウ</t>
    </rPh>
    <phoneticPr fontId="1"/>
  </si>
  <si>
    <t>表9.3</t>
    <rPh sb="0" eb="1">
      <t>ヒョウ</t>
    </rPh>
    <phoneticPr fontId="1"/>
  </si>
  <si>
    <t>=COMBIN(33,30)</t>
    <phoneticPr fontId="1"/>
  </si>
  <si>
    <t>=(55+1)*(52+1)</t>
  </si>
  <si>
    <t>=4+1</t>
  </si>
  <si>
    <t>=COMBIN(10,5)</t>
    <phoneticPr fontId="1"/>
  </si>
  <si>
    <t>sum</t>
    <phoneticPr fontId="1"/>
  </si>
  <si>
    <t>検算</t>
    <rPh sb="0" eb="2">
      <t>ケンザン</t>
    </rPh>
    <phoneticPr fontId="1"/>
  </si>
  <si>
    <t>片側ｐ値</t>
    <rPh sb="0" eb="2">
      <t>カタガワ</t>
    </rPh>
    <rPh sb="3" eb="4">
      <t>アタイ</t>
    </rPh>
    <phoneticPr fontId="1"/>
  </si>
  <si>
    <t>両側ｐ値</t>
    <rPh sb="0" eb="2">
      <t>リョウガワ</t>
    </rPh>
    <rPh sb="3" eb="4">
      <t>アタイ</t>
    </rPh>
    <phoneticPr fontId="1"/>
  </si>
  <si>
    <t>chi2 検算</t>
    <rPh sb="5" eb="7">
      <t>ケンザン</t>
    </rPh>
    <phoneticPr fontId="1"/>
  </si>
  <si>
    <t>確率　検算</t>
    <rPh sb="0" eb="2">
      <t>カクリツ</t>
    </rPh>
    <rPh sb="3" eb="5">
      <t>ケンザン</t>
    </rPh>
    <phoneticPr fontId="1"/>
  </si>
  <si>
    <t>検　算</t>
    <rPh sb="0" eb="1">
      <t>ケン</t>
    </rPh>
    <rPh sb="2" eb="3">
      <t>サン</t>
    </rPh>
    <phoneticPr fontId="1"/>
  </si>
  <si>
    <t>尤度比　検算</t>
    <rPh sb="0" eb="3">
      <t>ユウドヒ</t>
    </rPh>
    <rPh sb="4" eb="6">
      <t>ケンザン</t>
    </rPh>
    <phoneticPr fontId="1"/>
  </si>
  <si>
    <t>x</t>
    <phoneticPr fontId="1"/>
  </si>
  <si>
    <t>Pr(n11=x)</t>
    <phoneticPr fontId="1"/>
  </si>
  <si>
    <t>期待値</t>
    <rPh sb="0" eb="3">
      <t>キタイチ</t>
    </rPh>
    <phoneticPr fontId="1"/>
  </si>
  <si>
    <t>検算</t>
    <rPh sb="0" eb="2">
      <t>ケンザン</t>
    </rPh>
    <phoneticPr fontId="1"/>
  </si>
  <si>
    <t>Ｆ分布の確率密度関数
（緑色のセルを選択すると計算式が見える）</t>
    <rPh sb="1" eb="3">
      <t>ブンプ</t>
    </rPh>
    <rPh sb="4" eb="6">
      <t>カクリツ</t>
    </rPh>
    <rPh sb="6" eb="8">
      <t>ミツド</t>
    </rPh>
    <rPh sb="8" eb="10">
      <t>カンスウ</t>
    </rPh>
    <rPh sb="12" eb="14">
      <t>ミドリイロ</t>
    </rPh>
    <rPh sb="18" eb="20">
      <t>センタク</t>
    </rPh>
    <rPh sb="23" eb="26">
      <t>ケイサンシキ</t>
    </rPh>
    <rPh sb="27" eb="28">
      <t>ミ</t>
    </rPh>
    <phoneticPr fontId="1"/>
  </si>
  <si>
    <t>Ｆ分布</t>
    <rPh sb="1" eb="3">
      <t>ブンプ</t>
    </rPh>
    <phoneticPr fontId="1"/>
  </si>
  <si>
    <t>=F.DIST(Ｘ, f1, f2, FALSE)</t>
    <phoneticPr fontId="1"/>
  </si>
  <si>
    <t>χ2分布の確率密度関数
（緑色のセルを選択すると計算式が見える）</t>
    <rPh sb="2" eb="4">
      <t>ブンプ</t>
    </rPh>
    <rPh sb="5" eb="7">
      <t>カクリツ</t>
    </rPh>
    <rPh sb="7" eb="9">
      <t>ミツド</t>
    </rPh>
    <rPh sb="9" eb="11">
      <t>カンスウ</t>
    </rPh>
    <rPh sb="13" eb="15">
      <t>ミドリイロ</t>
    </rPh>
    <rPh sb="19" eb="21">
      <t>センタク</t>
    </rPh>
    <rPh sb="24" eb="27">
      <t>ケイサンシキ</t>
    </rPh>
    <rPh sb="28" eb="29">
      <t>ミ</t>
    </rPh>
    <phoneticPr fontId="1"/>
  </si>
  <si>
    <t>正規分布とχ2分布の
上位点の関係</t>
    <rPh sb="0" eb="2">
      <t>セイキ</t>
    </rPh>
    <rPh sb="2" eb="4">
      <t>ブンプ</t>
    </rPh>
    <rPh sb="11" eb="13">
      <t>ジョウイ</t>
    </rPh>
    <rPh sb="13" eb="14">
      <t>テン</t>
    </rPh>
    <rPh sb="15" eb="17">
      <t>カンケイ</t>
    </rPh>
    <phoneticPr fontId="1"/>
  </si>
  <si>
    <t>【参考】図7.1</t>
    <rPh sb="1" eb="3">
      <t>サンコウ</t>
    </rPh>
    <rPh sb="4" eb="5">
      <t>ズ</t>
    </rPh>
    <phoneticPr fontId="1"/>
  </si>
  <si>
    <t>2項分布のp値の計算
（緑色のセルを選択すると計算式が見える）</t>
    <rPh sb="1" eb="2">
      <t>コウ</t>
    </rPh>
    <rPh sb="2" eb="4">
      <t>ブンプ</t>
    </rPh>
    <rPh sb="6" eb="7">
      <t>アタイ</t>
    </rPh>
    <rPh sb="8" eb="10">
      <t>ケイサン</t>
    </rPh>
    <rPh sb="12" eb="14">
      <t>ミドリイロ</t>
    </rPh>
    <rPh sb="18" eb="20">
      <t>センタク</t>
    </rPh>
    <rPh sb="23" eb="26">
      <t>ケイサンシキ</t>
    </rPh>
    <rPh sb="27" eb="28">
      <t>ミ</t>
    </rPh>
    <phoneticPr fontId="1"/>
  </si>
  <si>
    <t>統計量を計算するための補助表</t>
    <rPh sb="0" eb="3">
      <t>トウケイリョウ</t>
    </rPh>
    <rPh sb="4" eb="6">
      <t>ケイサン</t>
    </rPh>
    <rPh sb="11" eb="13">
      <t>ホジョ</t>
    </rPh>
    <rPh sb="13" eb="14">
      <t>ヒョウ</t>
    </rPh>
    <phoneticPr fontId="1"/>
  </si>
  <si>
    <t>Fisherの正確検定
（Stata のコマンドと計算結果）</t>
    <rPh sb="7" eb="9">
      <t>セイカク</t>
    </rPh>
    <rPh sb="9" eb="11">
      <t>ケンテイ</t>
    </rPh>
    <rPh sb="25" eb="27">
      <t>ケイサン</t>
    </rPh>
    <rPh sb="27" eb="29">
      <t>ケッカ</t>
    </rPh>
    <phoneticPr fontId="1"/>
  </si>
  <si>
    <t>Fisherの正確検定
（可能解の確率の計算⇒図10.1）</t>
    <rPh sb="7" eb="9">
      <t>セイカク</t>
    </rPh>
    <rPh sb="9" eb="11">
      <t>ケンテイ</t>
    </rPh>
    <rPh sb="13" eb="15">
      <t>カノウ</t>
    </rPh>
    <rPh sb="15" eb="16">
      <t>カイ</t>
    </rPh>
    <rPh sb="17" eb="19">
      <t>カクリツ</t>
    </rPh>
    <rPh sb="20" eb="22">
      <t>ケイサン</t>
    </rPh>
    <rPh sb="23" eb="24">
      <t>ズ</t>
    </rPh>
    <phoneticPr fontId="1"/>
  </si>
  <si>
    <t>Fisherの正確検定
（観察結果）</t>
    <rPh sb="7" eb="9">
      <t>セイカク</t>
    </rPh>
    <rPh sb="9" eb="11">
      <t>ケンテイ</t>
    </rPh>
    <rPh sb="13" eb="15">
      <t>カンサツ</t>
    </rPh>
    <rPh sb="15" eb="17">
      <t>ケッカ</t>
    </rPh>
    <phoneticPr fontId="1"/>
  </si>
  <si>
    <t>←</t>
    <phoneticPr fontId="1"/>
  </si>
  <si>
    <t>χ2検定のｐ値</t>
    <rPh sb="2" eb="4">
      <t>ケンテイ</t>
    </rPh>
    <rPh sb="6" eb="7">
      <t>アタイ</t>
    </rPh>
    <phoneticPr fontId="1"/>
  </si>
  <si>
    <t>尤度比検定のｐ値</t>
    <rPh sb="0" eb="2">
      <t>ユウド</t>
    </rPh>
    <rPh sb="2" eb="3">
      <t>ヒ</t>
    </rPh>
    <rPh sb="3" eb="5">
      <t>ケンテイ</t>
    </rPh>
    <rPh sb="7" eb="8">
      <t>アタイ</t>
    </rPh>
    <phoneticPr fontId="1"/>
  </si>
  <si>
    <t>χ2検定の検定統計量</t>
    <rPh sb="2" eb="4">
      <t>ケンテイ</t>
    </rPh>
    <rPh sb="5" eb="7">
      <t>ケンテイ</t>
    </rPh>
    <rPh sb="7" eb="9">
      <t>トウケイ</t>
    </rPh>
    <rPh sb="9" eb="10">
      <t>リョウ</t>
    </rPh>
    <phoneticPr fontId="1"/>
  </si>
  <si>
    <t>尤度比検定の検定統計量</t>
    <rPh sb="0" eb="2">
      <t>ユウド</t>
    </rPh>
    <rPh sb="2" eb="3">
      <t>ヒ</t>
    </rPh>
    <rPh sb="3" eb="5">
      <t>ケンテイ</t>
    </rPh>
    <rPh sb="6" eb="8">
      <t>ケンテイ</t>
    </rPh>
    <rPh sb="8" eb="10">
      <t>トウケイ</t>
    </rPh>
    <rPh sb="10" eb="11">
      <t>リョウ</t>
    </rPh>
    <phoneticPr fontId="1"/>
  </si>
  <si>
    <t>tabi：四分表を直接検定する</t>
    <rPh sb="5" eb="8">
      <t>シブンヒョウ</t>
    </rPh>
    <rPh sb="9" eb="11">
      <t>チョクセツ</t>
    </rPh>
    <rPh sb="11" eb="13">
      <t>ケンテイ</t>
    </rPh>
    <phoneticPr fontId="1"/>
  </si>
  <si>
    <t>表10.1
mid-p値の計算</t>
    <rPh sb="0" eb="1">
      <t>ヒョウ</t>
    </rPh>
    <rPh sb="11" eb="12">
      <t>アタイ</t>
    </rPh>
    <rPh sb="13" eb="15">
      <t>ケイサン</t>
    </rPh>
    <phoneticPr fontId="1"/>
  </si>
  <si>
    <t>表12.1
独立性の検定</t>
    <rPh sb="0" eb="1">
      <t>ヒョウ</t>
    </rPh>
    <rPh sb="6" eb="9">
      <t>ドクリツセイ</t>
    </rPh>
    <rPh sb="10" eb="12">
      <t>ケンテイ</t>
    </rPh>
    <phoneticPr fontId="1"/>
  </si>
  <si>
    <t>STATA による計算結果</t>
    <rPh sb="9" eb="11">
      <t>ケイサン</t>
    </rPh>
    <rPh sb="11" eb="13">
      <t>ケッカ</t>
    </rPh>
    <phoneticPr fontId="1"/>
  </si>
  <si>
    <t>p</t>
  </si>
  <si>
    <t>観察度数</t>
    <rPh sb="0" eb="2">
      <t>カンサツ</t>
    </rPh>
    <rPh sb="2" eb="4">
      <t>ドスウ</t>
    </rPh>
    <phoneticPr fontId="1"/>
  </si>
  <si>
    <t>n11</t>
    <phoneticPr fontId="1"/>
  </si>
  <si>
    <t>n12</t>
    <phoneticPr fontId="1"/>
  </si>
  <si>
    <t>n21</t>
    <phoneticPr fontId="1"/>
  </si>
  <si>
    <t>n22</t>
    <phoneticPr fontId="1"/>
  </si>
  <si>
    <t>←</t>
    <phoneticPr fontId="1"/>
  </si>
  <si>
    <t>原理的に Fisher の両側検定(2) と等価</t>
    <rPh sb="0" eb="3">
      <t>ゲンリテキ</t>
    </rPh>
    <rPh sb="13" eb="15">
      <t>リョウガワ</t>
    </rPh>
    <rPh sb="15" eb="17">
      <t>ケンテイ</t>
    </rPh>
    <rPh sb="22" eb="24">
      <t>トウカ</t>
    </rPh>
    <phoneticPr fontId="1"/>
  </si>
  <si>
    <t>この問題では、χ2 統計量も尤度比も結果は完全に一致</t>
    <rPh sb="2" eb="4">
      <t>モンダイ</t>
    </rPh>
    <rPh sb="10" eb="13">
      <t>トウケイリョウ</t>
    </rPh>
    <rPh sb="14" eb="16">
      <t>ユウド</t>
    </rPh>
    <rPh sb="16" eb="17">
      <t>ヒ</t>
    </rPh>
    <rPh sb="18" eb="20">
      <t>ケッカ</t>
    </rPh>
    <rPh sb="21" eb="23">
      <t>カンゼン</t>
    </rPh>
    <rPh sb="24" eb="26">
      <t>イッチ</t>
    </rPh>
    <phoneticPr fontId="1"/>
  </si>
  <si>
    <t>Chi2_0</t>
    <phoneticPr fontId="1"/>
  </si>
  <si>
    <t>LR_0</t>
    <phoneticPr fontId="1"/>
  </si>
  <si>
    <t>-2Log(LR_0)</t>
    <phoneticPr fontId="1"/>
  </si>
  <si>
    <t>chi2&gt;Chi2_0</t>
    <phoneticPr fontId="1"/>
  </si>
  <si>
    <t>LR&lt;LR_0</t>
    <phoneticPr fontId="1"/>
  </si>
  <si>
    <t>LR</t>
    <phoneticPr fontId="1"/>
  </si>
  <si>
    <t>2項分布 B(20, 0.5) の確率
（緑色のセルを選択すると計算式が見える）</t>
    <rPh sb="1" eb="2">
      <t>コウ</t>
    </rPh>
    <rPh sb="2" eb="4">
      <t>ブンプ</t>
    </rPh>
    <rPh sb="17" eb="19">
      <t>カクリツ</t>
    </rPh>
    <rPh sb="21" eb="23">
      <t>ミドリイロ</t>
    </rPh>
    <rPh sb="27" eb="29">
      <t>センタク</t>
    </rPh>
    <rPh sb="32" eb="35">
      <t>ケイサンシキ</t>
    </rPh>
    <rPh sb="36" eb="37">
      <t>ミ</t>
    </rPh>
    <phoneticPr fontId="1"/>
  </si>
  <si>
    <t>X</t>
    <phoneticPr fontId="1"/>
  </si>
  <si>
    <t>棄
却
域</t>
    <rPh sb="0" eb="1">
      <t>キ</t>
    </rPh>
    <rPh sb="2" eb="3">
      <t>キャク</t>
    </rPh>
    <rPh sb="4" eb="5">
      <t>イキ</t>
    </rPh>
    <phoneticPr fontId="1"/>
  </si>
  <si>
    <t>頻度０のセルがある場合</t>
    <rPh sb="0" eb="2">
      <t>ヒンド</t>
    </rPh>
    <rPh sb="9" eb="11">
      <t>バアイ</t>
    </rPh>
    <phoneticPr fontId="1"/>
  </si>
  <si>
    <t>p値</t>
    <rPh sb="1" eb="2">
      <t>アタイ</t>
    </rPh>
    <phoneticPr fontId="1"/>
  </si>
  <si>
    <t>検算</t>
    <rPh sb="0" eb="2">
      <t>ケンザン</t>
    </rPh>
    <phoneticPr fontId="1"/>
  </si>
  <si>
    <t>Ex</t>
    <phoneticPr fontId="1"/>
  </si>
  <si>
    <t>X</t>
    <phoneticPr fontId="1"/>
  </si>
  <si>
    <t>X-Ex</t>
    <phoneticPr fontId="1"/>
  </si>
  <si>
    <t>(X-Ex)^2</t>
    <phoneticPr fontId="1"/>
  </si>
  <si>
    <t>(X-Ex)^2/Ex</t>
    <phoneticPr fontId="1"/>
  </si>
  <si>
    <t>p</t>
    <phoneticPr fontId="1"/>
  </si>
  <si>
    <t>chi2</t>
    <phoneticPr fontId="1"/>
  </si>
  <si>
    <t>(Ex/X)^X</t>
    <phoneticPr fontId="1"/>
  </si>
  <si>
    <t>LR</t>
    <phoneticPr fontId="1"/>
  </si>
  <si>
    <t>-2Log(LR)</t>
    <phoneticPr fontId="1"/>
  </si>
  <si>
    <t>mid-p</t>
    <phoneticPr fontId="1"/>
  </si>
  <si>
    <t>p検算</t>
    <rPh sb="1" eb="3">
      <t>ケンザン</t>
    </rPh>
    <phoneticPr fontId="1"/>
  </si>
  <si>
    <t>［例題9.2］の正確検定</t>
    <rPh sb="8" eb="10">
      <t>セイカク</t>
    </rPh>
    <rPh sb="10" eb="12">
      <t>ケンテイ</t>
    </rPh>
    <phoneticPr fontId="1"/>
  </si>
  <si>
    <t>A～K行　付録プログラムによる計算結果</t>
    <rPh sb="3" eb="4">
      <t>ギョウ</t>
    </rPh>
    <rPh sb="5" eb="7">
      <t>フロク</t>
    </rPh>
    <rPh sb="15" eb="17">
      <t>ケイサン</t>
    </rPh>
    <rPh sb="17" eb="19">
      <t>ケッカ</t>
    </rPh>
    <phoneticPr fontId="1"/>
  </si>
  <si>
    <t>L～S行　Excel による検算</t>
    <rPh sb="3" eb="4">
      <t>ギョウ</t>
    </rPh>
    <rPh sb="14" eb="16">
      <t>ケンザン</t>
    </rPh>
    <phoneticPr fontId="1"/>
  </si>
  <si>
    <t>正確法による一様性の検定</t>
    <rPh sb="0" eb="2">
      <t>セイカク</t>
    </rPh>
    <rPh sb="2" eb="3">
      <t>ホウ</t>
    </rPh>
    <rPh sb="6" eb="9">
      <t>イチヨウセイ</t>
    </rPh>
    <rPh sb="10" eb="12">
      <t>ケンテイ</t>
    </rPh>
    <phoneticPr fontId="1"/>
  </si>
  <si>
    <t>=SUM(C19:C23)</t>
    <phoneticPr fontId="1"/>
  </si>
  <si>
    <t>=C24*0.5^20</t>
    <phoneticPr fontId="1"/>
  </si>
  <si>
    <t>=C25*2</t>
    <phoneticPr fontId="1"/>
  </si>
  <si>
    <t>=SUM(C29:C34)</t>
    <phoneticPr fontId="1"/>
  </si>
  <si>
    <t>=C35*0.5^20</t>
    <phoneticPr fontId="1"/>
  </si>
  <si>
    <t>=C48*2</t>
    <phoneticPr fontId="1"/>
  </si>
  <si>
    <t>=C47*0.5^20</t>
    <phoneticPr fontId="1"/>
  </si>
  <si>
    <t>=SUM(C40:C46)</t>
    <phoneticPr fontId="1"/>
  </si>
  <si>
    <t>=C36*2</t>
    <phoneticPr fontId="1"/>
  </si>
  <si>
    <t>J列を使って、並べ替えを行い、J列＝「*」,「=」の
確率（緑色のセル）だけを足し合わせる</t>
    <rPh sb="1" eb="2">
      <t>レツ</t>
    </rPh>
    <rPh sb="3" eb="4">
      <t>ツカ</t>
    </rPh>
    <rPh sb="7" eb="8">
      <t>ナラ</t>
    </rPh>
    <rPh sb="9" eb="10">
      <t>カ</t>
    </rPh>
    <rPh sb="12" eb="13">
      <t>オコナ</t>
    </rPh>
    <rPh sb="16" eb="17">
      <t>レツ</t>
    </rPh>
    <rPh sb="27" eb="29">
      <t>カクリツ</t>
    </rPh>
    <rPh sb="30" eb="32">
      <t>ミドリイロ</t>
    </rPh>
    <rPh sb="39" eb="40">
      <t>タ</t>
    </rPh>
    <rPh sb="41" eb="42">
      <t>ア</t>
    </rPh>
    <phoneticPr fontId="1"/>
  </si>
  <si>
    <t>M列を使って、並べ替えを行い、M列＝「*」,「=」の
確率（薄青色のセル）だけを足し合わせる</t>
    <rPh sb="1" eb="2">
      <t>レツ</t>
    </rPh>
    <rPh sb="3" eb="4">
      <t>ツカ</t>
    </rPh>
    <rPh sb="7" eb="8">
      <t>ナラ</t>
    </rPh>
    <rPh sb="9" eb="10">
      <t>カ</t>
    </rPh>
    <rPh sb="12" eb="13">
      <t>オコナ</t>
    </rPh>
    <rPh sb="16" eb="17">
      <t>レツ</t>
    </rPh>
    <rPh sb="27" eb="29">
      <t>カクリツ</t>
    </rPh>
    <rPh sb="30" eb="31">
      <t>ウス</t>
    </rPh>
    <rPh sb="31" eb="33">
      <t>アオイロ</t>
    </rPh>
    <rPh sb="40" eb="41">
      <t>タ</t>
    </rPh>
    <rPh sb="42" eb="43">
      <t>ア</t>
    </rPh>
    <phoneticPr fontId="1"/>
  </si>
  <si>
    <t>=CHISQ.DIST.RT(C11, 2)</t>
    <phoneticPr fontId="1"/>
  </si>
  <si>
    <t>=CHISQ.DIST.RT(C14, 2)</t>
    <phoneticPr fontId="1"/>
  </si>
  <si>
    <t>和</t>
    <rPh sb="0" eb="1">
      <t>ワ</t>
    </rPh>
    <phoneticPr fontId="1"/>
  </si>
  <si>
    <t>期待値</t>
    <rPh sb="0" eb="3">
      <t>キタイチ</t>
    </rPh>
    <phoneticPr fontId="1"/>
  </si>
  <si>
    <t>帰無仮説</t>
    <rPh sb="0" eb="2">
      <t>キム</t>
    </rPh>
    <rPh sb="2" eb="4">
      <t>カセツ</t>
    </rPh>
    <phoneticPr fontId="1"/>
  </si>
  <si>
    <t>測定値</t>
    <rPh sb="0" eb="3">
      <t>ソクテイチ</t>
    </rPh>
    <phoneticPr fontId="1"/>
  </si>
  <si>
    <t>周辺和</t>
    <rPh sb="0" eb="2">
      <t>シュウヘン</t>
    </rPh>
    <rPh sb="2" eb="3">
      <t>ワ</t>
    </rPh>
    <phoneticPr fontId="1"/>
  </si>
  <si>
    <t>CHISQ.DIST.RT(K29,1)</t>
    <phoneticPr fontId="1"/>
  </si>
  <si>
    <t>CHISQ.DIST.RT(K13,1)</t>
    <phoneticPr fontId="1"/>
  </si>
  <si>
    <t>第６講　問1
母分散の区間推定</t>
    <rPh sb="0" eb="1">
      <t>ダイ</t>
    </rPh>
    <rPh sb="2" eb="3">
      <t>コウ</t>
    </rPh>
    <rPh sb="4" eb="5">
      <t>トイ</t>
    </rPh>
    <rPh sb="7" eb="10">
      <t>ボブンサン</t>
    </rPh>
    <rPh sb="11" eb="13">
      <t>クカン</t>
    </rPh>
    <rPh sb="13" eb="15">
      <t>スイテイ</t>
    </rPh>
    <phoneticPr fontId="1"/>
  </si>
  <si>
    <t>２項確率の検定結果
（Stata のコマンドと計算結果）</t>
    <rPh sb="1" eb="2">
      <t>コウ</t>
    </rPh>
    <rPh sb="2" eb="4">
      <t>カクリツ</t>
    </rPh>
    <rPh sb="5" eb="7">
      <t>ケンテイ</t>
    </rPh>
    <rPh sb="7" eb="9">
      <t>ケッカ</t>
    </rPh>
    <rPh sb="23" eb="25">
      <t>ケイサン</t>
    </rPh>
    <rPh sb="25" eb="27">
      <t>ケッカ</t>
    </rPh>
    <phoneticPr fontId="1"/>
  </si>
  <si>
    <t>２項確率の信頼区間
（Stata のコマンドと計算結果）</t>
    <rPh sb="1" eb="2">
      <t>コウ</t>
    </rPh>
    <rPh sb="2" eb="4">
      <t>カクリツ</t>
    </rPh>
    <rPh sb="5" eb="7">
      <t>シンライ</t>
    </rPh>
    <rPh sb="7" eb="9">
      <t>クカン</t>
    </rPh>
    <rPh sb="23" eb="25">
      <t>ケイサン</t>
    </rPh>
    <rPh sb="25" eb="27">
      <t>ケッカ</t>
    </rPh>
    <phoneticPr fontId="1"/>
  </si>
  <si>
    <t>7.e節（文中表）④</t>
    <rPh sb="3" eb="4">
      <t>セツ</t>
    </rPh>
    <rPh sb="5" eb="7">
      <t>ブンチュウ</t>
    </rPh>
    <rPh sb="7" eb="8">
      <t>ヒョウ</t>
    </rPh>
    <phoneticPr fontId="1"/>
  </si>
  <si>
    <t>§7.e　適合度検定（正確法の計算結果）
§8.d　尤度比検定（正確法の計算結果）</t>
    <rPh sb="5" eb="8">
      <t>テキゴウド</t>
    </rPh>
    <rPh sb="8" eb="10">
      <t>ケンテイ</t>
    </rPh>
    <rPh sb="11" eb="13">
      <t>セイカク</t>
    </rPh>
    <rPh sb="13" eb="14">
      <t>ホウ</t>
    </rPh>
    <rPh sb="15" eb="17">
      <t>ケイサン</t>
    </rPh>
    <rPh sb="17" eb="19">
      <t>ケッカ</t>
    </rPh>
    <rPh sb="26" eb="29">
      <t>ユウドヒ</t>
    </rPh>
    <phoneticPr fontId="1"/>
  </si>
  <si>
    <t>§7.f　適合度検定（近似法の計算結果）
§8.e　尤度比検定（近似法の計算結果）</t>
    <rPh sb="5" eb="8">
      <t>テキゴウド</t>
    </rPh>
    <rPh sb="8" eb="10">
      <t>ケンテイ</t>
    </rPh>
    <rPh sb="11" eb="13">
      <t>キンジ</t>
    </rPh>
    <rPh sb="13" eb="14">
      <t>ホウ</t>
    </rPh>
    <rPh sb="15" eb="17">
      <t>ケイサン</t>
    </rPh>
    <rPh sb="17" eb="19">
      <t>ケッカ</t>
    </rPh>
    <rPh sb="26" eb="29">
      <t>ユウドヒ</t>
    </rPh>
    <rPh sb="32" eb="34">
      <t>キンジ</t>
    </rPh>
    <phoneticPr fontId="1"/>
  </si>
  <si>
    <t>四分表の近似検定</t>
    <rPh sb="0" eb="1">
      <t>ヨン</t>
    </rPh>
    <rPh sb="1" eb="3">
      <t>ブンヒョウ</t>
    </rPh>
    <rPh sb="4" eb="6">
      <t>キンジ</t>
    </rPh>
    <rPh sb="6" eb="8">
      <t>ケンテイ</t>
    </rPh>
    <phoneticPr fontId="1"/>
  </si>
  <si>
    <t>§7.f　補足１</t>
    <rPh sb="5" eb="7">
      <t>ホソク</t>
    </rPh>
    <phoneticPr fontId="1"/>
  </si>
  <si>
    <t>10.a節</t>
    <rPh sb="4" eb="5">
      <t>セツ</t>
    </rPh>
    <phoneticPr fontId="1"/>
  </si>
  <si>
    <t>四分表に対する近似検定
（第１１章ｄ節）</t>
    <rPh sb="0" eb="1">
      <t>ヨン</t>
    </rPh>
    <rPh sb="1" eb="3">
      <t>ブンヒョウ</t>
    </rPh>
    <rPh sb="4" eb="5">
      <t>タイ</t>
    </rPh>
    <rPh sb="7" eb="9">
      <t>キンジ</t>
    </rPh>
    <rPh sb="9" eb="11">
      <t>ケンテイ</t>
    </rPh>
    <rPh sb="13" eb="14">
      <t>ダイ</t>
    </rPh>
    <rPh sb="16" eb="17">
      <t>ショウ</t>
    </rPh>
    <rPh sb="18" eb="19">
      <t>セツ</t>
    </rPh>
    <phoneticPr fontId="1"/>
  </si>
  <si>
    <t>csi：２項確率の差の信頼区間</t>
    <rPh sb="5" eb="6">
      <t>コウ</t>
    </rPh>
    <rPh sb="6" eb="8">
      <t>カクリツ</t>
    </rPh>
    <rPh sb="9" eb="10">
      <t>サ</t>
    </rPh>
    <rPh sb="11" eb="13">
      <t>シンライ</t>
    </rPh>
    <rPh sb="13" eb="15">
      <t>クカン</t>
    </rPh>
    <phoneticPr fontId="1"/>
  </si>
  <si>
    <t>prtesti：２項確率の差の検定</t>
    <rPh sb="9" eb="10">
      <t>コウ</t>
    </rPh>
    <rPh sb="10" eb="12">
      <t>カクリツ</t>
    </rPh>
    <rPh sb="13" eb="14">
      <t>サ</t>
    </rPh>
    <rPh sb="15" eb="17">
      <t>ケンテイ</t>
    </rPh>
    <phoneticPr fontId="1"/>
  </si>
  <si>
    <t>四分表に対する近似検定
（STATA による計算結果）</t>
    <rPh sb="0" eb="1">
      <t>ヨン</t>
    </rPh>
    <rPh sb="1" eb="3">
      <t>ブンヒョウ</t>
    </rPh>
    <rPh sb="4" eb="5">
      <t>タイ</t>
    </rPh>
    <rPh sb="7" eb="9">
      <t>キンジ</t>
    </rPh>
    <rPh sb="9" eb="11">
      <t>ケンテイ</t>
    </rPh>
    <rPh sb="22" eb="24">
      <t>ケイサン</t>
    </rPh>
    <rPh sb="24" eb="26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</si>
</sst>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0.00000_);[Red]\(0.00000\)"/>
    <numFmt numFmtId="177" formatCode="0.0000_ "/>
    <numFmt numFmtId="178" formatCode="0.0_ "/>
    <numFmt numFmtId="179" formatCode="0.0000_);[Red]\(0.0000\)"/>
    <numFmt numFmtId="180" formatCode="0.000_);[Red]\(0.000\)"/>
    <numFmt numFmtId="181" formatCode="0_);[Red]\(0\)"/>
    <numFmt numFmtId="182" formatCode="0.0_);[Red]\(0.0\)"/>
    <numFmt numFmtId="183" formatCode="0.000000000000000_);[Red]\(0.000000000000000\)"/>
    <numFmt numFmtId="184" formatCode="0_ "/>
    <numFmt numFmtId="185" formatCode="0.00_ "/>
    <numFmt numFmtId="186" formatCode="0.00_);[Red]\(0.00\)"/>
    <numFmt numFmtId="187" formatCode="0.000000_);[Red]\(0.000000\)"/>
    <numFmt numFmtId="188" formatCode="0.00000000_);[Red]\(0.00000000\)"/>
    <numFmt numFmtId="189" formatCode="0.0000"/>
    <numFmt numFmtId="190" formatCode="0.000"/>
    <numFmt numFmtId="191" formatCode="0.000_ "/>
    <numFmt numFmtId="192" formatCode="0.000000_ "/>
    <numFmt numFmtId="193" formatCode="0.000000000_);[Red]\(0.000000000\)"/>
    <numFmt numFmtId="194" formatCode="0.000000000_ "/>
    <numFmt numFmtId="195" formatCode="0.000000000000000_ "/>
    <numFmt numFmtId="196" formatCode="0.0000000_);[Red]\(0.0000000\)"/>
    <numFmt numFmtId="197" formatCode="0.00000_ "/>
    <numFmt numFmtId="198" formatCode="0.00000"/>
    <numFmt numFmtId="199" formatCode="0.0000000000_ "/>
  </numFmts>
  <fonts count="21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rgb="FF363636"/>
      <name val="Segoe UI"/>
      <family val="2"/>
    </font>
    <font>
      <sz val="12"/>
      <color theme="0"/>
      <name val="メイリオ"/>
      <family val="2"/>
      <charset val="128"/>
    </font>
    <font>
      <sz val="12"/>
      <color rgb="FF000000"/>
      <name val="メイリオ"/>
      <family val="3"/>
      <charset val="128"/>
    </font>
    <font>
      <vertAlign val="subscript"/>
      <sz val="12"/>
      <color rgb="FF000000"/>
      <name val="メイリオ"/>
      <family val="3"/>
      <charset val="128"/>
    </font>
    <font>
      <sz val="12"/>
      <color theme="0"/>
      <name val="メイリオ"/>
      <family val="3"/>
      <charset val="128"/>
    </font>
    <font>
      <sz val="12"/>
      <color rgb="FFFF0000"/>
      <name val="メイリオ"/>
      <family val="3"/>
      <charset val="128"/>
    </font>
    <font>
      <i/>
      <sz val="12"/>
      <color rgb="FF000000"/>
      <name val="メイリオ"/>
      <family val="3"/>
      <charset val="128"/>
    </font>
    <font>
      <i/>
      <sz val="12"/>
      <color rgb="FF000000"/>
      <name val="メイリオ"/>
      <family val="2"/>
      <charset val="128"/>
    </font>
    <font>
      <vertAlign val="superscript"/>
      <sz val="12"/>
      <color rgb="FF000000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theme="1"/>
      <name val="メイリオ"/>
      <family val="2"/>
      <charset val="128"/>
    </font>
    <font>
      <vertAlign val="subscript"/>
      <sz val="12"/>
      <color theme="1"/>
      <name val="メイリオ"/>
      <family val="3"/>
      <charset val="128"/>
    </font>
    <font>
      <i/>
      <sz val="12"/>
      <color theme="1"/>
      <name val="メイリオ"/>
      <family val="3"/>
      <charset val="128"/>
    </font>
    <font>
      <sz val="12"/>
      <color theme="1"/>
      <name val="メイリオ"/>
      <family val="2"/>
      <charset val="128"/>
    </font>
    <font>
      <u/>
      <sz val="12"/>
      <color theme="10"/>
      <name val="メイリオ"/>
      <family val="2"/>
      <charset val="128"/>
    </font>
    <font>
      <sz val="6"/>
      <name val="ＭＳ Ｐゴシック"/>
      <family val="2"/>
      <charset val="128"/>
    </font>
    <font>
      <i/>
      <sz val="12"/>
      <color theme="1"/>
      <name val="メイリオ"/>
      <family val="2"/>
      <charset val="128"/>
    </font>
    <font>
      <vertAlign val="superscript"/>
      <sz val="12"/>
      <color theme="1"/>
      <name val="メイリオ"/>
      <family val="3"/>
      <charset val="128"/>
    </font>
    <font>
      <sz val="12"/>
      <name val="メイリオ"/>
      <family val="2"/>
      <charset val="128"/>
    </font>
  </fonts>
  <fills count="1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>
      <alignment vertical="center"/>
    </xf>
  </cellStyleXfs>
  <cellXfs count="29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182" fontId="0" fillId="0" borderId="2" xfId="0" applyNumberFormat="1" applyFont="1" applyFill="1" applyBorder="1" applyAlignment="1">
      <alignment horizontal="center" vertical="center"/>
    </xf>
    <xf numFmtId="183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180" fontId="0" fillId="0" borderId="2" xfId="0" applyNumberFormat="1" applyFont="1" applyFill="1" applyBorder="1" applyAlignment="1">
      <alignment horizontal="center" vertical="center"/>
    </xf>
    <xf numFmtId="179" fontId="0" fillId="2" borderId="2" xfId="0" applyNumberFormat="1" applyFont="1" applyFill="1" applyBorder="1" applyAlignment="1">
      <alignment horizontal="center" vertical="center"/>
    </xf>
    <xf numFmtId="179" fontId="0" fillId="0" borderId="2" xfId="0" applyNumberFormat="1" applyFont="1" applyFill="1" applyBorder="1" applyAlignment="1">
      <alignment horizontal="center" vertical="center"/>
    </xf>
    <xf numFmtId="179" fontId="0" fillId="5" borderId="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84" fontId="0" fillId="2" borderId="0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0" fillId="0" borderId="0" xfId="0" applyNumberFormat="1" applyFont="1" applyFill="1" applyBorder="1">
      <alignment vertical="center"/>
    </xf>
    <xf numFmtId="178" fontId="0" fillId="0" borderId="0" xfId="0" applyNumberForma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85" fontId="0" fillId="0" borderId="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181" fontId="0" fillId="0" borderId="0" xfId="0" applyNumberFormat="1">
      <alignment vertical="center"/>
    </xf>
    <xf numFmtId="186" fontId="0" fillId="2" borderId="2" xfId="0" applyNumberFormat="1" applyFill="1" applyBorder="1">
      <alignment vertical="center"/>
    </xf>
    <xf numFmtId="181" fontId="0" fillId="2" borderId="2" xfId="0" applyNumberFormat="1" applyFill="1" applyBorder="1">
      <alignment vertical="center"/>
    </xf>
    <xf numFmtId="188" fontId="0" fillId="2" borderId="2" xfId="0" applyNumberFormat="1" applyFill="1" applyBorder="1">
      <alignment vertical="center"/>
    </xf>
    <xf numFmtId="179" fontId="0" fillId="2" borderId="2" xfId="0" applyNumberForma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2" xfId="0" applyBorder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11" fillId="0" borderId="2" xfId="0" applyFont="1" applyBorder="1" applyAlignment="1">
      <alignment horizontal="center" vertical="center"/>
    </xf>
    <xf numFmtId="181" fontId="0" fillId="3" borderId="2" xfId="0" applyNumberFormat="1" applyFill="1" applyBorder="1">
      <alignment vertical="center"/>
    </xf>
    <xf numFmtId="181" fontId="0" fillId="3" borderId="2" xfId="0" applyNumberFormat="1" applyFill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179" fontId="0" fillId="0" borderId="0" xfId="0" applyNumberFormat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0" fontId="16" fillId="0" borderId="0" xfId="1">
      <alignment vertical="center"/>
    </xf>
    <xf numFmtId="189" fontId="0" fillId="0" borderId="8" xfId="0" applyNumberFormat="1" applyBorder="1">
      <alignment vertical="center"/>
    </xf>
    <xf numFmtId="189" fontId="0" fillId="0" borderId="1" xfId="0" applyNumberFormat="1" applyBorder="1">
      <alignment vertical="center"/>
    </xf>
    <xf numFmtId="0" fontId="4" fillId="0" borderId="13" xfId="0" applyFont="1" applyFill="1" applyBorder="1" applyAlignment="1">
      <alignment horizontal="center" vertical="center"/>
    </xf>
    <xf numFmtId="186" fontId="4" fillId="0" borderId="7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86" fontId="4" fillId="0" borderId="13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/>
    </xf>
    <xf numFmtId="179" fontId="0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84" fontId="0" fillId="0" borderId="0" xfId="0" applyNumberFormat="1" applyBorder="1" applyAlignment="1">
      <alignment horizontal="center" vertical="center"/>
    </xf>
    <xf numFmtId="178" fontId="0" fillId="5" borderId="1" xfId="0" applyNumberForma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180" fontId="0" fillId="3" borderId="2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77" fontId="0" fillId="0" borderId="0" xfId="0" applyNumberFormat="1" applyFont="1" applyFill="1" applyBorder="1" applyAlignment="1">
      <alignment horizontal="center" vertical="center"/>
    </xf>
    <xf numFmtId="177" fontId="0" fillId="2" borderId="2" xfId="0" applyNumberFormat="1" applyFont="1" applyFill="1" applyBorder="1" applyAlignment="1">
      <alignment horizontal="center" vertical="center"/>
    </xf>
    <xf numFmtId="177" fontId="0" fillId="5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81" fontId="0" fillId="2" borderId="2" xfId="0" applyNumberFormat="1" applyFill="1" applyBorder="1" applyAlignment="1">
      <alignment horizontal="center" vertical="center"/>
    </xf>
    <xf numFmtId="176" fontId="0" fillId="0" borderId="2" xfId="0" applyNumberFormat="1" applyFont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9" fontId="0" fillId="3" borderId="14" xfId="0" applyNumberFormat="1" applyFont="1" applyFill="1" applyBorder="1" applyAlignment="1">
      <alignment horizontal="center" vertical="center"/>
    </xf>
    <xf numFmtId="183" fontId="0" fillId="2" borderId="2" xfId="0" applyNumberFormat="1" applyFont="1" applyFill="1" applyBorder="1" applyAlignment="1">
      <alignment horizontal="center" vertical="center"/>
    </xf>
    <xf numFmtId="183" fontId="0" fillId="5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92" fontId="0" fillId="0" borderId="0" xfId="0" applyNumberFormat="1" applyAlignment="1">
      <alignment horizontal="center" vertical="center"/>
    </xf>
    <xf numFmtId="182" fontId="0" fillId="0" borderId="0" xfId="0" applyNumberFormat="1" applyFont="1" applyFill="1" applyBorder="1">
      <alignment vertical="center"/>
    </xf>
    <xf numFmtId="182" fontId="0" fillId="0" borderId="0" xfId="0" applyNumberFormat="1" applyFont="1" applyFill="1" applyBorder="1" applyAlignment="1">
      <alignment horizontal="center" vertical="center"/>
    </xf>
    <xf numFmtId="193" fontId="0" fillId="0" borderId="0" xfId="0" applyNumberFormat="1" applyFont="1" applyFill="1" applyBorder="1" applyAlignment="1">
      <alignment horizontal="center" vertical="center"/>
    </xf>
    <xf numFmtId="183" fontId="0" fillId="0" borderId="0" xfId="0" applyNumberFormat="1" applyFont="1" applyFill="1" applyBorder="1">
      <alignment vertical="center"/>
    </xf>
    <xf numFmtId="183" fontId="0" fillId="0" borderId="0" xfId="0" applyNumberFormat="1" applyFont="1" applyFill="1" applyBorder="1" applyAlignment="1">
      <alignment horizontal="center" vertical="center"/>
    </xf>
    <xf numFmtId="194" fontId="0" fillId="0" borderId="2" xfId="0" applyNumberFormat="1" applyFont="1" applyFill="1" applyBorder="1" applyAlignment="1">
      <alignment horizontal="center" vertical="center"/>
    </xf>
    <xf numFmtId="194" fontId="0" fillId="0" borderId="0" xfId="0" applyNumberFormat="1" applyFont="1" applyFill="1" applyBorder="1">
      <alignment vertical="center"/>
    </xf>
    <xf numFmtId="194" fontId="0" fillId="0" borderId="0" xfId="0" applyNumberFormat="1" applyFont="1" applyFill="1" applyBorder="1" applyAlignment="1">
      <alignment horizontal="center" vertical="center"/>
    </xf>
    <xf numFmtId="194" fontId="0" fillId="5" borderId="2" xfId="0" applyNumberFormat="1" applyFont="1" applyFill="1" applyBorder="1" applyAlignment="1">
      <alignment horizontal="center" vertical="center"/>
    </xf>
    <xf numFmtId="182" fontId="0" fillId="2" borderId="2" xfId="0" applyNumberFormat="1" applyFont="1" applyFill="1" applyBorder="1" applyAlignment="1">
      <alignment horizontal="center" vertical="center"/>
    </xf>
    <xf numFmtId="195" fontId="0" fillId="0" borderId="0" xfId="0" applyNumberFormat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79" fontId="0" fillId="0" borderId="1" xfId="0" applyNumberFormat="1" applyBorder="1">
      <alignment vertical="center"/>
    </xf>
    <xf numFmtId="190" fontId="0" fillId="0" borderId="8" xfId="0" applyNumberFormat="1" applyBorder="1">
      <alignment vertical="center"/>
    </xf>
    <xf numFmtId="190" fontId="0" fillId="0" borderId="1" xfId="0" applyNumberFormat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1" fontId="0" fillId="0" borderId="2" xfId="0" applyNumberFormat="1" applyFont="1" applyFill="1" applyBorder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9" fontId="2" fillId="2" borderId="0" xfId="0" applyNumberFormat="1" applyFont="1" applyFill="1" applyAlignment="1">
      <alignment horizontal="center" vertical="center"/>
    </xf>
    <xf numFmtId="180" fontId="2" fillId="2" borderId="0" xfId="0" applyNumberFormat="1" applyFont="1" applyFill="1" applyAlignment="1">
      <alignment horizontal="center" vertical="center"/>
    </xf>
    <xf numFmtId="180" fontId="2" fillId="2" borderId="0" xfId="0" applyNumberFormat="1" applyFont="1" applyFill="1" applyBorder="1" applyAlignment="1">
      <alignment horizontal="center" vertical="center"/>
    </xf>
    <xf numFmtId="180" fontId="2" fillId="2" borderId="1" xfId="0" applyNumberFormat="1" applyFont="1" applyFill="1" applyBorder="1" applyAlignment="1">
      <alignment horizontal="center" vertical="center"/>
    </xf>
    <xf numFmtId="180" fontId="2" fillId="5" borderId="0" xfId="0" applyNumberFormat="1" applyFont="1" applyFill="1" applyAlignment="1">
      <alignment horizontal="center" vertical="center"/>
    </xf>
    <xf numFmtId="192" fontId="0" fillId="2" borderId="0" xfId="0" applyNumberFormat="1" applyFill="1" applyAlignment="1">
      <alignment horizontal="center" vertical="center"/>
    </xf>
    <xf numFmtId="192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81" fontId="0" fillId="2" borderId="2" xfId="0" applyNumberFormat="1" applyFill="1" applyBorder="1" applyAlignment="1">
      <alignment horizontal="right" vertical="center"/>
    </xf>
    <xf numFmtId="0" fontId="0" fillId="0" borderId="8" xfId="0" applyBorder="1" applyAlignment="1">
      <alignment vertical="center"/>
    </xf>
    <xf numFmtId="187" fontId="0" fillId="0" borderId="2" xfId="0" applyNumberFormat="1" applyFont="1" applyFill="1" applyBorder="1" applyAlignment="1">
      <alignment horizontal="center" vertical="center"/>
    </xf>
    <xf numFmtId="193" fontId="0" fillId="0" borderId="2" xfId="0" applyNumberFormat="1" applyFont="1" applyFill="1" applyBorder="1" applyAlignment="1">
      <alignment horizontal="center" vertical="center"/>
    </xf>
    <xf numFmtId="194" fontId="6" fillId="0" borderId="0" xfId="0" applyNumberFormat="1" applyFont="1" applyFill="1" applyBorder="1" applyAlignment="1">
      <alignment horizontal="center" vertical="center"/>
    </xf>
    <xf numFmtId="181" fontId="0" fillId="0" borderId="2" xfId="0" applyNumberFormat="1" applyFill="1" applyBorder="1" applyAlignment="1">
      <alignment horizontal="center" vertical="center"/>
    </xf>
    <xf numFmtId="179" fontId="0" fillId="2" borderId="0" xfId="0" applyNumberFormat="1" applyFill="1" applyAlignment="1">
      <alignment horizontal="center" vertical="center"/>
    </xf>
    <xf numFmtId="179" fontId="0" fillId="2" borderId="1" xfId="0" applyNumberFormat="1" applyFill="1" applyBorder="1" applyAlignment="1">
      <alignment horizontal="center" vertical="center"/>
    </xf>
    <xf numFmtId="180" fontId="4" fillId="2" borderId="0" xfId="0" applyNumberFormat="1" applyFont="1" applyFill="1" applyBorder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/>
    </xf>
    <xf numFmtId="179" fontId="4" fillId="2" borderId="0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91" fontId="4" fillId="2" borderId="1" xfId="0" applyNumberFormat="1" applyFont="1" applyFill="1" applyBorder="1" applyAlignment="1">
      <alignment horizontal="center" vertical="center"/>
    </xf>
    <xf numFmtId="191" fontId="4" fillId="2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179" fontId="0" fillId="5" borderId="0" xfId="0" applyNumberFormat="1" applyFill="1" applyAlignment="1">
      <alignment horizontal="center" vertical="center"/>
    </xf>
    <xf numFmtId="179" fontId="0" fillId="5" borderId="1" xfId="0" applyNumberFormat="1" applyFill="1" applyBorder="1" applyAlignment="1">
      <alignment horizontal="center" vertical="center"/>
    </xf>
    <xf numFmtId="196" fontId="0" fillId="2" borderId="8" xfId="0" applyNumberFormat="1" applyFill="1" applyBorder="1" applyAlignment="1">
      <alignment horizontal="center" vertical="center"/>
    </xf>
    <xf numFmtId="196" fontId="0" fillId="2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2" xfId="0" applyFill="1" applyBorder="1">
      <alignment vertical="center"/>
    </xf>
    <xf numFmtId="183" fontId="0" fillId="0" borderId="2" xfId="0" applyNumberFormat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0" fontId="0" fillId="5" borderId="2" xfId="0" applyNumberFormat="1" applyFont="1" applyFill="1" applyBorder="1">
      <alignment vertical="center"/>
    </xf>
    <xf numFmtId="0" fontId="0" fillId="12" borderId="2" xfId="0" applyFont="1" applyFill="1" applyBorder="1" applyAlignment="1">
      <alignment horizontal="center" vertical="center"/>
    </xf>
    <xf numFmtId="179" fontId="0" fillId="0" borderId="0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13" borderId="0" xfId="0" applyNumberFormat="1" applyFill="1" applyAlignment="1">
      <alignment horizontal="center" vertical="center"/>
    </xf>
    <xf numFmtId="179" fontId="0" fillId="5" borderId="0" xfId="0" applyNumberFormat="1" applyFill="1" applyBorder="1" applyAlignment="1">
      <alignment horizontal="center" vertical="center"/>
    </xf>
    <xf numFmtId="179" fontId="0" fillId="13" borderId="0" xfId="0" applyNumberFormat="1" applyFill="1" applyBorder="1" applyAlignment="1">
      <alignment horizontal="center" vertical="center"/>
    </xf>
    <xf numFmtId="179" fontId="0" fillId="13" borderId="1" xfId="0" applyNumberFormat="1" applyFill="1" applyBorder="1" applyAlignment="1">
      <alignment horizontal="center" vertical="center"/>
    </xf>
    <xf numFmtId="187" fontId="0" fillId="14" borderId="2" xfId="0" applyNumberFormat="1" applyFill="1" applyBorder="1" applyAlignment="1">
      <alignment horizontal="right" vertical="center"/>
    </xf>
    <xf numFmtId="187" fontId="0" fillId="14" borderId="2" xfId="0" applyNumberFormat="1" applyFill="1" applyBorder="1">
      <alignment vertical="center"/>
    </xf>
    <xf numFmtId="195" fontId="0" fillId="4" borderId="0" xfId="0" applyNumberFormat="1" applyFont="1" applyFill="1" applyBorder="1">
      <alignment vertical="center"/>
    </xf>
    <xf numFmtId="179" fontId="0" fillId="4" borderId="1" xfId="0" applyNumberFormat="1" applyFill="1" applyBorder="1">
      <alignment vertical="center"/>
    </xf>
    <xf numFmtId="191" fontId="0" fillId="2" borderId="2" xfId="0" applyNumberFormat="1" applyFont="1" applyFill="1" applyBorder="1">
      <alignment vertical="center"/>
    </xf>
    <xf numFmtId="190" fontId="0" fillId="5" borderId="2" xfId="0" applyNumberFormat="1" applyFont="1" applyFill="1" applyBorder="1" applyAlignment="1">
      <alignment horizontal="center" vertical="center"/>
    </xf>
    <xf numFmtId="198" fontId="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186" fontId="0" fillId="0" borderId="2" xfId="0" applyNumberFormat="1" applyBorder="1">
      <alignment vertical="center"/>
    </xf>
    <xf numFmtId="191" fontId="0" fillId="0" borderId="0" xfId="0" applyNumberFormat="1">
      <alignment vertical="center"/>
    </xf>
    <xf numFmtId="191" fontId="0" fillId="0" borderId="2" xfId="0" applyNumberFormat="1" applyBorder="1">
      <alignment vertical="center"/>
    </xf>
    <xf numFmtId="197" fontId="0" fillId="5" borderId="2" xfId="0" applyNumberFormat="1" applyFill="1" applyBorder="1">
      <alignment vertical="center"/>
    </xf>
    <xf numFmtId="191" fontId="0" fillId="0" borderId="0" xfId="0" applyNumberForma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5" borderId="2" xfId="0" applyNumberForma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15" borderId="2" xfId="0" applyFill="1" applyBorder="1">
      <alignment vertical="center"/>
    </xf>
    <xf numFmtId="176" fontId="0" fillId="0" borderId="2" xfId="0" applyNumberFormat="1" applyFill="1" applyBorder="1">
      <alignment vertical="center"/>
    </xf>
    <xf numFmtId="0" fontId="0" fillId="16" borderId="2" xfId="0" applyFill="1" applyBorder="1">
      <alignment vertical="center"/>
    </xf>
    <xf numFmtId="176" fontId="0" fillId="4" borderId="2" xfId="0" applyNumberFormat="1" applyFill="1" applyBorder="1" applyAlignment="1">
      <alignment horizontal="center" vertical="center"/>
    </xf>
    <xf numFmtId="176" fontId="0" fillId="13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2" xfId="0" applyFill="1" applyBorder="1">
      <alignment vertical="center"/>
    </xf>
    <xf numFmtId="199" fontId="0" fillId="0" borderId="0" xfId="0" applyNumberFormat="1" applyFont="1" applyFill="1" applyBorder="1">
      <alignment vertical="center"/>
    </xf>
    <xf numFmtId="0" fontId="0" fillId="4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3" fillId="11" borderId="2" xfId="0" applyNumberFormat="1" applyFont="1" applyFill="1" applyBorder="1" applyAlignment="1">
      <alignment horizontal="center" vertical="center"/>
    </xf>
    <xf numFmtId="49" fontId="6" fillId="11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16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180" fontId="0" fillId="2" borderId="2" xfId="0" applyNumberFormat="1" applyFill="1" applyBorder="1" applyAlignment="1">
      <alignment horizontal="center" vertical="center"/>
    </xf>
    <xf numFmtId="180" fontId="0" fillId="5" borderId="2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76" fontId="0" fillId="7" borderId="2" xfId="0" applyNumberFormat="1" applyFont="1" applyFill="1" applyBorder="1" applyAlignment="1">
      <alignment horizontal="center" vertical="center"/>
    </xf>
    <xf numFmtId="198" fontId="0" fillId="7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  <color rgb="FFFFCCFF"/>
      <color rgb="FFCCFFFF"/>
      <color rgb="FF00CC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Ｆ分布!$B$11:$B$61</c:f>
              <c:numCache>
                <c:formatCode>General</c:formatCode>
                <c:ptCount val="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</c:numCache>
            </c:numRef>
          </c:xVal>
          <c:yVal>
            <c:numRef>
              <c:f>Ｆ分布!$C$11:$C$61</c:f>
              <c:numCache>
                <c:formatCode>0.00000_);[Red]\(0.00000\)</c:formatCode>
                <c:ptCount val="51"/>
                <c:pt idx="0">
                  <c:v>1</c:v>
                </c:pt>
                <c:pt idx="1">
                  <c:v>0.88797138218619232</c:v>
                </c:pt>
                <c:pt idx="2">
                  <c:v>0.79031452573014604</c:v>
                </c:pt>
                <c:pt idx="3">
                  <c:v>0.70496054043967671</c:v>
                </c:pt>
                <c:pt idx="4">
                  <c:v>0.63016962688310485</c:v>
                </c:pt>
                <c:pt idx="5">
                  <c:v>0.56447393005377744</c:v>
                </c:pt>
                <c:pt idx="6">
                  <c:v>0.50663112117732101</c:v>
                </c:pt>
                <c:pt idx="7">
                  <c:v>0.45558654768404871</c:v>
                </c:pt>
                <c:pt idx="8">
                  <c:v>0.4104422546674158</c:v>
                </c:pt>
                <c:pt idx="9">
                  <c:v>0.37043153917835475</c:v>
                </c:pt>
                <c:pt idx="10">
                  <c:v>0.33489797668038412</c:v>
                </c:pt>
                <c:pt idx="11">
                  <c:v>0.3032780757864183</c:v>
                </c:pt>
                <c:pt idx="12">
                  <c:v>0.27508688721709101</c:v>
                </c:pt>
                <c:pt idx="13">
                  <c:v>0.2499060265013569</c:v>
                </c:pt>
                <c:pt idx="14">
                  <c:v>0.22737367544323214</c:v>
                </c:pt>
                <c:pt idx="15">
                  <c:v>0.20717621103300343</c:v>
                </c:pt>
                <c:pt idx="16">
                  <c:v>0.18904117706383466</c:v>
                </c:pt>
                <c:pt idx="17">
                  <c:v>0.17273136690426769</c:v>
                </c:pt>
                <c:pt idx="18">
                  <c:v>0.15803982851897802</c:v>
                </c:pt>
                <c:pt idx="19">
                  <c:v>0.14478563713387499</c:v>
                </c:pt>
                <c:pt idx="20">
                  <c:v>0.13281030862990764</c:v>
                </c:pt>
                <c:pt idx="21">
                  <c:v>0.12197474917101674</c:v>
                </c:pt>
                <c:pt idx="22">
                  <c:v>0.1121566547846151</c:v>
                </c:pt>
                <c:pt idx="23">
                  <c:v>0.10324828945278543</c:v>
                </c:pt>
                <c:pt idx="24">
                  <c:v>9.5154582399592111E-2</c:v>
                </c:pt>
                <c:pt idx="25">
                  <c:v>8.7791495198902614E-2</c:v>
                </c:pt>
                <c:pt idx="26">
                  <c:v>8.1084617495525257E-2</c:v>
                </c:pt>
                <c:pt idx="27">
                  <c:v>7.4967956863979057E-2</c:v>
                </c:pt>
                <c:pt idx="28">
                  <c:v>6.9382893891261066E-2</c:v>
                </c:pt>
                <c:pt idx="29">
                  <c:v>6.4277278177565914E-2</c:v>
                </c:pt>
                <c:pt idx="30">
                  <c:v>5.9604644775390604E-2</c:v>
                </c:pt>
                <c:pt idx="31">
                  <c:v>5.5323533773002316E-2</c:v>
                </c:pt>
                <c:pt idx="32">
                  <c:v>5.1396898386508467E-2</c:v>
                </c:pt>
                <c:pt idx="33">
                  <c:v>4.779158914816832E-2</c:v>
                </c:pt>
                <c:pt idx="34">
                  <c:v>4.447790364245343E-2</c:v>
                </c:pt>
                <c:pt idx="35">
                  <c:v>4.142919280727899E-2</c:v>
                </c:pt>
                <c:pt idx="36">
                  <c:v>3.8621516136242408E-2</c:v>
                </c:pt>
                <c:pt idx="37">
                  <c:v>3.6033339230061204E-2</c:v>
                </c:pt>
                <c:pt idx="38">
                  <c:v>3.364526808582409E-2</c:v>
                </c:pt>
                <c:pt idx="39">
                  <c:v>3.1439815309317456E-2</c:v>
                </c:pt>
                <c:pt idx="40">
                  <c:v>2.9401194111858125E-2</c:v>
                </c:pt>
                <c:pt idx="41">
                  <c:v>2.7515136528068071E-2</c:v>
                </c:pt>
                <c:pt idx="42">
                  <c:v>2.5768732780906928E-2</c:v>
                </c:pt>
                <c:pt idx="43">
                  <c:v>2.4150289138400321E-2</c:v>
                </c:pt>
                <c:pt idx="44">
                  <c:v>2.2649201964003177E-2</c:v>
                </c:pt>
                <c:pt idx="45">
                  <c:v>2.1255845968746995E-2</c:v>
                </c:pt>
                <c:pt idx="46">
                  <c:v>1.996147493603135E-2</c:v>
                </c:pt>
                <c:pt idx="47">
                  <c:v>1.8758133415698448E-2</c:v>
                </c:pt>
                <c:pt idx="48">
                  <c:v>1.7638578078371325E-2</c:v>
                </c:pt>
                <c:pt idx="49">
                  <c:v>1.6596207588594553E-2</c:v>
                </c:pt>
                <c:pt idx="50">
                  <c:v>1.5624999999999998E-2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Ｆ分布!$B$11:$B$61</c:f>
              <c:numCache>
                <c:formatCode>General</c:formatCode>
                <c:ptCount val="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</c:numCache>
            </c:numRef>
          </c:xVal>
          <c:yVal>
            <c:numRef>
              <c:f>Ｆ分布!$D$11:$D$61</c:f>
              <c:numCache>
                <c:formatCode>0.00000_);[Red]\(0.00000\)</c:formatCode>
                <c:ptCount val="51"/>
                <c:pt idx="0">
                  <c:v>0</c:v>
                </c:pt>
                <c:pt idx="1">
                  <c:v>0.22740009356190707</c:v>
                </c:pt>
                <c:pt idx="2">
                  <c:v>0.45374331211800045</c:v>
                </c:pt>
                <c:pt idx="3">
                  <c:v>0.59725316723209332</c:v>
                </c:pt>
                <c:pt idx="4">
                  <c:v>0.66825316399430246</c:v>
                </c:pt>
                <c:pt idx="5">
                  <c:v>0.6876070027706237</c:v>
                </c:pt>
                <c:pt idx="6">
                  <c:v>0.67353801914760469</c:v>
                </c:pt>
                <c:pt idx="7">
                  <c:v>0.63952006988131016</c:v>
                </c:pt>
                <c:pt idx="8">
                  <c:v>0.59481935945130648</c:v>
                </c:pt>
                <c:pt idx="9">
                  <c:v>0.54552433612516693</c:v>
                </c:pt>
                <c:pt idx="10">
                  <c:v>0.49547978348663885</c:v>
                </c:pt>
                <c:pt idx="11">
                  <c:v>0.44700427183375219</c:v>
                </c:pt>
                <c:pt idx="12">
                  <c:v>0.4014046333892774</c:v>
                </c:pt>
                <c:pt idx="13">
                  <c:v>0.35933194561830423</c:v>
                </c:pt>
                <c:pt idx="14">
                  <c:v>0.32102253895741684</c:v>
                </c:pt>
                <c:pt idx="15">
                  <c:v>0.28645862666105687</c:v>
                </c:pt>
                <c:pt idx="16">
                  <c:v>0.25547391758654514</c:v>
                </c:pt>
                <c:pt idx="17">
                  <c:v>0.2278220739608092</c:v>
                </c:pt>
                <c:pt idx="18">
                  <c:v>0.20322032078762112</c:v>
                </c:pt>
                <c:pt idx="19">
                  <c:v>0.18137657565807638</c:v>
                </c:pt>
                <c:pt idx="20">
                  <c:v>0.16200574218011499</c:v>
                </c:pt>
                <c:pt idx="21">
                  <c:v>0.14483894949223716</c:v>
                </c:pt>
                <c:pt idx="22">
                  <c:v>0.12962826037503339</c:v>
                </c:pt>
                <c:pt idx="23">
                  <c:v>0.11614852172881929</c:v>
                </c:pt>
                <c:pt idx="24">
                  <c:v>0.10419746145839145</c:v>
                </c:pt>
                <c:pt idx="25">
                  <c:v>9.3594754449685569E-2</c:v>
                </c:pt>
                <c:pt idx="26">
                  <c:v>8.4180525765138722E-2</c:v>
                </c:pt>
                <c:pt idx="27">
                  <c:v>7.5813589824710717E-2</c:v>
                </c:pt>
                <c:pt idx="28">
                  <c:v>6.8369612152579584E-2</c:v>
                </c:pt>
                <c:pt idx="29">
                  <c:v>6.1739306401918791E-2</c:v>
                </c:pt>
                <c:pt idx="30">
                  <c:v>5.5826731145572253E-2</c:v>
                </c:pt>
                <c:pt idx="31">
                  <c:v>5.0547719817400388E-2</c:v>
                </c:pt>
                <c:pt idx="32">
                  <c:v>4.5828457479904411E-2</c:v>
                </c:pt>
                <c:pt idx="33">
                  <c:v>4.1604205929988827E-2</c:v>
                </c:pt>
                <c:pt idx="34">
                  <c:v>3.7818171452722503E-2</c:v>
                </c:pt>
                <c:pt idx="35">
                  <c:v>3.4420505560927989E-2</c:v>
                </c:pt>
                <c:pt idx="36">
                  <c:v>3.1367427158565012E-2</c:v>
                </c:pt>
                <c:pt idx="37">
                  <c:v>2.8620453967254895E-2</c:v>
                </c:pt>
                <c:pt idx="38">
                  <c:v>2.6145731247582592E-2</c:v>
                </c:pt>
                <c:pt idx="39">
                  <c:v>2.3913446495070774E-2</c:v>
                </c:pt>
                <c:pt idx="40">
                  <c:v>2.1897319677765308E-2</c:v>
                </c:pt>
                <c:pt idx="41">
                  <c:v>2.0074159569844374E-2</c:v>
                </c:pt>
                <c:pt idx="42">
                  <c:v>1.842347773771422E-2</c:v>
                </c:pt>
                <c:pt idx="43">
                  <c:v>1.6927152700525083E-2</c:v>
                </c:pt>
                <c:pt idx="44">
                  <c:v>1.5569137687494111E-2</c:v>
                </c:pt>
                <c:pt idx="45">
                  <c:v>1.4335206236073365E-2</c:v>
                </c:pt>
                <c:pt idx="46">
                  <c:v>1.3212730613292803E-2</c:v>
                </c:pt>
                <c:pt idx="47">
                  <c:v>1.2190488698651261E-2</c:v>
                </c:pt>
                <c:pt idx="48">
                  <c:v>1.1258495545096472E-2</c:v>
                </c:pt>
                <c:pt idx="49">
                  <c:v>1.0407856341035819E-2</c:v>
                </c:pt>
                <c:pt idx="50">
                  <c:v>9.6306379378100857E-3</c:v>
                </c:pt>
              </c:numCache>
            </c:numRef>
          </c:yVal>
          <c:smooth val="1"/>
        </c:ser>
        <c:ser>
          <c:idx val="3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Ｆ分布!$B$11:$B$61</c:f>
              <c:numCache>
                <c:formatCode>General</c:formatCode>
                <c:ptCount val="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</c:numCache>
            </c:numRef>
          </c:xVal>
          <c:yVal>
            <c:numRef>
              <c:f>Ｆ分布!$E$11:$E$61</c:f>
              <c:numCache>
                <c:formatCode>0.00000_);[Red]\(0.00000\)</c:formatCode>
                <c:ptCount val="51"/>
                <c:pt idx="0">
                  <c:v>0</c:v>
                </c:pt>
                <c:pt idx="1">
                  <c:v>1.241823778680674E-2</c:v>
                </c:pt>
                <c:pt idx="2">
                  <c:v>0.10529657971429059</c:v>
                </c:pt>
                <c:pt idx="3">
                  <c:v>0.2880713511107903</c:v>
                </c:pt>
                <c:pt idx="4">
                  <c:v>0.50113585058373333</c:v>
                </c:pt>
                <c:pt idx="5">
                  <c:v>0.68519309631557002</c:v>
                </c:pt>
                <c:pt idx="6">
                  <c:v>0.80881432486869043</c:v>
                </c:pt>
                <c:pt idx="7">
                  <c:v>0.86626651422096645</c:v>
                </c:pt>
                <c:pt idx="8">
                  <c:v>0.8669256721831885</c:v>
                </c:pt>
                <c:pt idx="9">
                  <c:v>0.8259842105433558</c:v>
                </c:pt>
                <c:pt idx="10">
                  <c:v>0.75874181946346664</c:v>
                </c:pt>
                <c:pt idx="11">
                  <c:v>0.67793406105433207</c:v>
                </c:pt>
                <c:pt idx="12">
                  <c:v>0.59297041330452882</c:v>
                </c:pt>
                <c:pt idx="13">
                  <c:v>0.51015029939435108</c:v>
                </c:pt>
                <c:pt idx="14">
                  <c:v>0.43326385664901251</c:v>
                </c:pt>
                <c:pt idx="15">
                  <c:v>0.36425758920905527</c:v>
                </c:pt>
                <c:pt idx="16">
                  <c:v>0.30382054973820533</c:v>
                </c:pt>
                <c:pt idx="17">
                  <c:v>0.25184444446520754</c:v>
                </c:pt>
                <c:pt idx="18">
                  <c:v>0.20775865311575842</c:v>
                </c:pt>
                <c:pt idx="19">
                  <c:v>0.17076019869386433</c:v>
                </c:pt>
                <c:pt idx="20">
                  <c:v>0.13996316161663319</c:v>
                </c:pt>
                <c:pt idx="21">
                  <c:v>0.11448998677558558</c:v>
                </c:pt>
                <c:pt idx="22">
                  <c:v>9.3522842645538631E-2</c:v>
                </c:pt>
                <c:pt idx="23">
                  <c:v>7.6328688500441791E-2</c:v>
                </c:pt>
                <c:pt idx="24">
                  <c:v>6.2267813878366225E-2</c:v>
                </c:pt>
                <c:pt idx="25">
                  <c:v>5.0792558917055378E-2</c:v>
                </c:pt>
                <c:pt idx="26">
                  <c:v>4.1440663478487572E-2</c:v>
                </c:pt>
                <c:pt idx="27">
                  <c:v>3.3826089327678187E-2</c:v>
                </c:pt>
                <c:pt idx="28">
                  <c:v>2.7629059542155703E-2</c:v>
                </c:pt>
                <c:pt idx="29">
                  <c:v>2.2586326766479821E-2</c:v>
                </c:pt>
                <c:pt idx="30">
                  <c:v>1.8482208251953125E-2</c:v>
                </c:pt>
                <c:pt idx="31">
                  <c:v>1.5140629193418445E-2</c:v>
                </c:pt>
                <c:pt idx="32">
                  <c:v>1.2418237786806733E-2</c:v>
                </c:pt>
                <c:pt idx="33">
                  <c:v>1.0198554443860124E-2</c:v>
                </c:pt>
                <c:pt idx="34">
                  <c:v>8.3870655387089273E-3</c:v>
                </c:pt>
                <c:pt idx="35">
                  <c:v>6.9071500835535208E-3</c:v>
                </c:pt>
                <c:pt idx="36">
                  <c:v>5.6967234960874176E-3</c:v>
                </c:pt>
                <c:pt idx="37">
                  <c:v>4.7054882196178507E-3</c:v>
                </c:pt>
                <c:pt idx="38">
                  <c:v>3.8926914443923647E-3</c:v>
                </c:pt>
                <c:pt idx="39">
                  <c:v>3.2253025622361801E-3</c:v>
                </c:pt>
                <c:pt idx="40">
                  <c:v>2.6765355324827001E-3</c:v>
                </c:pt>
                <c:pt idx="41">
                  <c:v>2.2246531081460213E-3</c:v>
                </c:pt>
                <c:pt idx="42">
                  <c:v>1.8520004215333145E-3</c:v>
                </c:pt>
                <c:pt idx="43">
                  <c:v>1.5442246053788105E-3</c:v>
                </c:pt>
                <c:pt idx="44">
                  <c:v>1.2896449431378265E-3</c:v>
                </c:pt>
                <c:pt idx="45">
                  <c:v>1.0787446019063802E-3</c:v>
                </c:pt>
                <c:pt idx="46">
                  <c:v>9.0376044448247598E-4</c:v>
                </c:pt>
                <c:pt idx="47">
                  <c:v>7.5835189532579472E-4</c:v>
                </c:pt>
                <c:pt idx="48">
                  <c:v>6.3733349578962704E-4</c:v>
                </c:pt>
                <c:pt idx="49">
                  <c:v>5.3645876138519542E-4</c:v>
                </c:pt>
                <c:pt idx="50">
                  <c:v>4.5224536625353411E-4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777744"/>
        <c:axId val="185974096"/>
      </c:scatterChart>
      <c:valAx>
        <c:axId val="124777744"/>
        <c:scaling>
          <c:orientation val="minMax"/>
          <c:max val="5.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85974096"/>
        <c:crosses val="autoZero"/>
        <c:crossBetween val="midCat"/>
        <c:majorUnit val="1"/>
      </c:valAx>
      <c:valAx>
        <c:axId val="185974096"/>
        <c:scaling>
          <c:orientation val="minMax"/>
          <c:max val="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spPr>
          <a:ln w="19050">
            <a:solidFill>
              <a:schemeClr val="tx1">
                <a:lumMod val="65000"/>
                <a:lumOff val="35000"/>
              </a:schemeClr>
            </a:solidFill>
          </a:ln>
        </c:spPr>
        <c:txPr>
          <a:bodyPr/>
          <a:lstStyle/>
          <a:p>
            <a:pPr>
              <a:defRPr sz="20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24777744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02682710766795"/>
          <c:y val="7.419182129110248E-2"/>
          <c:w val="0.78520204448128206"/>
          <c:h val="0.7135046672425088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Lit>
              <c:formatCode>General</c:formatCode>
              <c:ptCount val="21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</c:numLit>
          </c:cat>
          <c:val>
            <c:numLit>
              <c:formatCode>General</c:formatCode>
              <c:ptCount val="21"/>
              <c:pt idx="0">
                <c:v>9.5367431640625E-7</c:v>
              </c:pt>
              <c:pt idx="1">
                <c:v>1.9073486328125E-5</c:v>
              </c:pt>
              <c:pt idx="2">
                <c:v>1.811981201171875E-4</c:v>
              </c:pt>
              <c:pt idx="3">
                <c:v>1.087188720703125E-3</c:v>
              </c:pt>
              <c:pt idx="4">
                <c:v>4.6205520629882813E-3</c:v>
              </c:pt>
              <c:pt idx="5">
                <c:v>1.4785766601562498E-2</c:v>
              </c:pt>
              <c:pt idx="6">
                <c:v>3.696441650390625E-2</c:v>
              </c:pt>
              <c:pt idx="7">
                <c:v>7.39288330078125E-2</c:v>
              </c:pt>
              <c:pt idx="8">
                <c:v>0.12013435363769533</c:v>
              </c:pt>
              <c:pt idx="9">
                <c:v>0.16017913818359375</c:v>
              </c:pt>
              <c:pt idx="10">
                <c:v>0.17619705200195313</c:v>
              </c:pt>
              <c:pt idx="11">
                <c:v>0.16017913818359375</c:v>
              </c:pt>
              <c:pt idx="12">
                <c:v>0.12013435363769533</c:v>
              </c:pt>
              <c:pt idx="13">
                <c:v>7.39288330078125E-2</c:v>
              </c:pt>
              <c:pt idx="14">
                <c:v>3.696441650390625E-2</c:v>
              </c:pt>
              <c:pt idx="15">
                <c:v>1.4785766601562498E-2</c:v>
              </c:pt>
              <c:pt idx="16">
                <c:v>4.6205520629882813E-3</c:v>
              </c:pt>
              <c:pt idx="17">
                <c:v>1.087188720703125E-3</c:v>
              </c:pt>
              <c:pt idx="18">
                <c:v>1.811981201171875E-4</c:v>
              </c:pt>
              <c:pt idx="19">
                <c:v>1.9073486328125E-5</c:v>
              </c:pt>
              <c:pt idx="20">
                <c:v>9.5367431640625E-7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6570520"/>
        <c:axId val="186570904"/>
      </c:barChart>
      <c:catAx>
        <c:axId val="18657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2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86570904"/>
        <c:crosses val="autoZero"/>
        <c:auto val="1"/>
        <c:lblAlgn val="ctr"/>
        <c:lblOffset val="100"/>
        <c:noMultiLvlLbl val="0"/>
      </c:catAx>
      <c:valAx>
        <c:axId val="186570904"/>
        <c:scaling>
          <c:orientation val="minMax"/>
          <c:max val="0.2"/>
          <c:min val="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86570520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none"/>
          </c:marker>
          <c:xVal>
            <c:numLit>
              <c:formatCode>General</c:formatCode>
              <c:ptCount val="21"/>
              <c:pt idx="0">
                <c:v>0</c:v>
              </c:pt>
              <c:pt idx="1">
                <c:v>0.05</c:v>
              </c:pt>
              <c:pt idx="2">
                <c:v>0.1</c:v>
              </c:pt>
              <c:pt idx="3">
                <c:v>0.15</c:v>
              </c:pt>
              <c:pt idx="4">
                <c:v>0.2</c:v>
              </c:pt>
              <c:pt idx="5">
                <c:v>0.25</c:v>
              </c:pt>
              <c:pt idx="6">
                <c:v>0.3</c:v>
              </c:pt>
              <c:pt idx="7">
                <c:v>0.35</c:v>
              </c:pt>
              <c:pt idx="8">
                <c:v>0.4</c:v>
              </c:pt>
              <c:pt idx="9">
                <c:v>0.45</c:v>
              </c:pt>
              <c:pt idx="10">
                <c:v>0.5</c:v>
              </c:pt>
              <c:pt idx="11">
                <c:v>0.55000000000000004</c:v>
              </c:pt>
              <c:pt idx="12">
                <c:v>0.6</c:v>
              </c:pt>
              <c:pt idx="13">
                <c:v>0.65</c:v>
              </c:pt>
              <c:pt idx="14">
                <c:v>0.7</c:v>
              </c:pt>
              <c:pt idx="15">
                <c:v>0.75</c:v>
              </c:pt>
              <c:pt idx="16">
                <c:v>0.8</c:v>
              </c:pt>
              <c:pt idx="17">
                <c:v>0.85</c:v>
              </c:pt>
              <c:pt idx="18">
                <c:v>0.9</c:v>
              </c:pt>
              <c:pt idx="19">
                <c:v>0.95</c:v>
              </c:pt>
              <c:pt idx="20">
                <c:v>1</c:v>
              </c:pt>
            </c:numLit>
          </c:xVal>
          <c:yVal>
            <c:numLit>
              <c:formatCode>General</c:formatCode>
              <c:ptCount val="21"/>
              <c:pt idx="0">
                <c:v>0</c:v>
              </c:pt>
              <c:pt idx="1">
                <c:v>1.0475059441406252E-2</c:v>
              </c:pt>
              <c:pt idx="2">
                <c:v>5.7395628000000025E-2</c:v>
              </c:pt>
              <c:pt idx="3">
                <c:v>0.12983372075390617</c:v>
              </c:pt>
              <c:pt idx="4">
                <c:v>0.20132659200000019</c:v>
              </c:pt>
              <c:pt idx="5">
                <c:v>0.25028228759765625</c:v>
              </c:pt>
              <c:pt idx="6">
                <c:v>0.26682793199999982</c:v>
              </c:pt>
              <c:pt idx="7">
                <c:v>0.25221962497265632</c:v>
              </c:pt>
              <c:pt idx="8">
                <c:v>0.21499084800000001</c:v>
              </c:pt>
              <c:pt idx="9">
                <c:v>0.16647829287890639</c:v>
              </c:pt>
              <c:pt idx="10">
                <c:v>0.1171875</c:v>
              </c:pt>
              <c:pt idx="11">
                <c:v>7.4603106316406223E-2</c:v>
              </c:pt>
              <c:pt idx="12">
                <c:v>4.2467328000000026E-2</c:v>
              </c:pt>
              <c:pt idx="13">
                <c:v>2.1203015285156241E-2</c:v>
              </c:pt>
              <c:pt idx="14">
                <c:v>9.0016920000000073E-3</c:v>
              </c:pt>
              <c:pt idx="15">
                <c:v>3.08990478515625E-3</c:v>
              </c:pt>
              <c:pt idx="16">
                <c:v>7.8643199999999891E-4</c:v>
              </c:pt>
              <c:pt idx="17">
                <c:v>1.2591481640625011E-4</c:v>
              </c:pt>
              <c:pt idx="18">
                <c:v>8.7479999999999881E-6</c:v>
              </c:pt>
              <c:pt idx="19">
                <c:v>8.0378906250000488E-8</c:v>
              </c:pt>
              <c:pt idx="20">
                <c:v>0</c:v>
              </c:pt>
            </c:numLit>
          </c:yVal>
          <c:smooth val="1"/>
        </c:ser>
        <c:ser>
          <c:idx val="1"/>
          <c:order val="1"/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Lit>
              <c:formatCode>General</c:formatCode>
              <c:ptCount val="21"/>
              <c:pt idx="0">
                <c:v>0</c:v>
              </c:pt>
              <c:pt idx="1">
                <c:v>0.05</c:v>
              </c:pt>
              <c:pt idx="2">
                <c:v>0.1</c:v>
              </c:pt>
              <c:pt idx="3">
                <c:v>0.15</c:v>
              </c:pt>
              <c:pt idx="4">
                <c:v>0.2</c:v>
              </c:pt>
              <c:pt idx="5">
                <c:v>0.25</c:v>
              </c:pt>
              <c:pt idx="6">
                <c:v>0.3</c:v>
              </c:pt>
              <c:pt idx="7">
                <c:v>0.35</c:v>
              </c:pt>
              <c:pt idx="8">
                <c:v>0.4</c:v>
              </c:pt>
              <c:pt idx="9">
                <c:v>0.45</c:v>
              </c:pt>
              <c:pt idx="10">
                <c:v>0.5</c:v>
              </c:pt>
              <c:pt idx="11">
                <c:v>0.55000000000000004</c:v>
              </c:pt>
              <c:pt idx="12">
                <c:v>0.6</c:v>
              </c:pt>
              <c:pt idx="13">
                <c:v>0.65</c:v>
              </c:pt>
              <c:pt idx="14">
                <c:v>0.7</c:v>
              </c:pt>
              <c:pt idx="15">
                <c:v>0.75</c:v>
              </c:pt>
              <c:pt idx="16">
                <c:v>0.8</c:v>
              </c:pt>
              <c:pt idx="17">
                <c:v>0.85</c:v>
              </c:pt>
              <c:pt idx="18">
                <c:v>0.9</c:v>
              </c:pt>
              <c:pt idx="19">
                <c:v>0.95</c:v>
              </c:pt>
              <c:pt idx="20">
                <c:v>1</c:v>
              </c:pt>
            </c:numLit>
          </c:xVal>
          <c:yVal>
            <c:numLit>
              <c:formatCode>General</c:formatCode>
              <c:ptCount val="21"/>
              <c:pt idx="0">
                <c:v>0</c:v>
              </c:pt>
              <c:pt idx="1">
                <c:v>6.0935248828125034E-5</c:v>
              </c:pt>
              <c:pt idx="2">
                <c:v>1.4880348000000012E-3</c:v>
              </c:pt>
              <c:pt idx="3">
                <c:v>8.4908557863281227E-3</c:v>
              </c:pt>
              <c:pt idx="4">
                <c:v>2.6424115200000032E-2</c:v>
              </c:pt>
              <c:pt idx="5">
                <c:v>5.8399200439453125E-2</c:v>
              </c:pt>
              <c:pt idx="6">
                <c:v>0.10291934519999997</c:v>
              </c:pt>
              <c:pt idx="7">
                <c:v>0.1535704107082031</c:v>
              </c:pt>
              <c:pt idx="8">
                <c:v>0.20065812480000009</c:v>
              </c:pt>
              <c:pt idx="9">
                <c:v>0.23403270759257827</c:v>
              </c:pt>
              <c:pt idx="10">
                <c:v>0.24609375</c:v>
              </c:pt>
              <c:pt idx="11">
                <c:v>0.23403270759257805</c:v>
              </c:pt>
              <c:pt idx="12">
                <c:v>0.20065812480000011</c:v>
              </c:pt>
              <c:pt idx="13">
                <c:v>0.1535704107082031</c:v>
              </c:pt>
              <c:pt idx="14">
                <c:v>0.10291934520000003</c:v>
              </c:pt>
              <c:pt idx="15">
                <c:v>5.8399200439453125E-2</c:v>
              </c:pt>
              <c:pt idx="16">
                <c:v>2.642411519999998E-2</c:v>
              </c:pt>
              <c:pt idx="17">
                <c:v>8.4908557863281279E-3</c:v>
              </c:pt>
              <c:pt idx="18">
                <c:v>1.4880347999999984E-3</c:v>
              </c:pt>
              <c:pt idx="19">
                <c:v>6.0935248828125271E-5</c:v>
              </c:pt>
              <c:pt idx="20">
                <c:v>0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562616"/>
        <c:axId val="187036120"/>
      </c:scatterChart>
      <c:valAx>
        <c:axId val="186562616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87036120"/>
        <c:crosses val="autoZero"/>
        <c:crossBetween val="midCat"/>
        <c:majorUnit val="0.30000000000000004"/>
      </c:valAx>
      <c:valAx>
        <c:axId val="187036120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86562616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91528360850183"/>
          <c:y val="0.22113110367872821"/>
          <c:w val="0.7643273139193979"/>
          <c:h val="0.57308955733459965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none"/>
          </c:marker>
          <c:xVal>
            <c:numLit>
              <c:formatCode>General</c:formatCode>
              <c:ptCount val="21"/>
              <c:pt idx="0">
                <c:v>0</c:v>
              </c:pt>
              <c:pt idx="1">
                <c:v>0.05</c:v>
              </c:pt>
              <c:pt idx="2">
                <c:v>0.1</c:v>
              </c:pt>
              <c:pt idx="3">
                <c:v>0.15</c:v>
              </c:pt>
              <c:pt idx="4">
                <c:v>0.2</c:v>
              </c:pt>
              <c:pt idx="5">
                <c:v>0.25</c:v>
              </c:pt>
              <c:pt idx="6">
                <c:v>0.3</c:v>
              </c:pt>
              <c:pt idx="7">
                <c:v>0.35</c:v>
              </c:pt>
              <c:pt idx="8">
                <c:v>0.4</c:v>
              </c:pt>
              <c:pt idx="9">
                <c:v>0.45</c:v>
              </c:pt>
              <c:pt idx="10">
                <c:v>0.5</c:v>
              </c:pt>
              <c:pt idx="11">
                <c:v>0.55000000000000004</c:v>
              </c:pt>
              <c:pt idx="12">
                <c:v>0.6</c:v>
              </c:pt>
              <c:pt idx="13">
                <c:v>0.65</c:v>
              </c:pt>
              <c:pt idx="14">
                <c:v>0.7</c:v>
              </c:pt>
              <c:pt idx="15">
                <c:v>0.75</c:v>
              </c:pt>
              <c:pt idx="16">
                <c:v>0.8</c:v>
              </c:pt>
              <c:pt idx="17">
                <c:v>0.85</c:v>
              </c:pt>
              <c:pt idx="18">
                <c:v>0.9</c:v>
              </c:pt>
              <c:pt idx="19">
                <c:v>0.95</c:v>
              </c:pt>
              <c:pt idx="20">
                <c:v>1</c:v>
              </c:pt>
            </c:numLit>
          </c:xVal>
          <c:yVal>
            <c:numLit>
              <c:formatCode>General</c:formatCode>
              <c:ptCount val="21"/>
              <c:pt idx="0">
                <c:v>0</c:v>
              </c:pt>
              <c:pt idx="1">
                <c:v>1.0475059441406252E-2</c:v>
              </c:pt>
              <c:pt idx="2">
                <c:v>5.7395628000000025E-2</c:v>
              </c:pt>
              <c:pt idx="3">
                <c:v>0.12983372075390617</c:v>
              </c:pt>
              <c:pt idx="4">
                <c:v>0.20132659200000019</c:v>
              </c:pt>
              <c:pt idx="5">
                <c:v>0.25028228759765625</c:v>
              </c:pt>
              <c:pt idx="6">
                <c:v>0.26682793199999982</c:v>
              </c:pt>
              <c:pt idx="7">
                <c:v>0.25221962497265632</c:v>
              </c:pt>
              <c:pt idx="8">
                <c:v>0.21499084800000001</c:v>
              </c:pt>
              <c:pt idx="9">
                <c:v>0.16647829287890639</c:v>
              </c:pt>
              <c:pt idx="10">
                <c:v>0.1171875</c:v>
              </c:pt>
              <c:pt idx="11">
                <c:v>7.4603106316406223E-2</c:v>
              </c:pt>
              <c:pt idx="12">
                <c:v>4.2467328000000026E-2</c:v>
              </c:pt>
              <c:pt idx="13">
                <c:v>2.1203015285156241E-2</c:v>
              </c:pt>
              <c:pt idx="14">
                <c:v>9.0016920000000073E-3</c:v>
              </c:pt>
              <c:pt idx="15">
                <c:v>3.08990478515625E-3</c:v>
              </c:pt>
              <c:pt idx="16">
                <c:v>7.8643199999999891E-4</c:v>
              </c:pt>
              <c:pt idx="17">
                <c:v>1.2591481640625011E-4</c:v>
              </c:pt>
              <c:pt idx="18">
                <c:v>8.7479999999999881E-6</c:v>
              </c:pt>
              <c:pt idx="19">
                <c:v>8.0378906250000488E-8</c:v>
              </c:pt>
              <c:pt idx="20">
                <c:v>0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23600"/>
        <c:axId val="187023984"/>
      </c:scatterChart>
      <c:valAx>
        <c:axId val="187023600"/>
        <c:scaling>
          <c:orientation val="minMax"/>
          <c:max val="1"/>
          <c:min val="0"/>
        </c:scaling>
        <c:delete val="0"/>
        <c:axPos val="b"/>
        <c:numFmt formatCode="0.0_ 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87023984"/>
        <c:crosses val="autoZero"/>
        <c:crossBetween val="midCat"/>
        <c:majorUnit val="0.30000000000000004"/>
      </c:valAx>
      <c:valAx>
        <c:axId val="187023984"/>
        <c:scaling>
          <c:orientation val="minMax"/>
          <c:min val="0"/>
        </c:scaling>
        <c:delete val="0"/>
        <c:axPos val="l"/>
        <c:majorGridlines/>
        <c:numFmt formatCode="0.0_ 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18702360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358140</xdr:colOff>
      <xdr:row>9</xdr:row>
      <xdr:rowOff>205740</xdr:rowOff>
    </xdr:from>
    <xdr:to>
      <xdr:col>15</xdr:col>
      <xdr:colOff>723900</xdr:colOff>
      <xdr:row>29</xdr:row>
      <xdr:rowOff>7620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167640</xdr:rowOff>
    </xdr:from>
    <xdr:to>
      <xdr:col>8</xdr:col>
      <xdr:colOff>207645</xdr:colOff>
      <xdr:row>44</xdr:row>
      <xdr:rowOff>232410</xdr:rowOff>
    </xdr:to>
    <xdr:sp macro="" textlink="">
      <xdr:nvSpPr>
        <xdr:cNvPr id="2" name="テキスト ボックス 1"/>
        <xdr:cNvSpPr txBox="1"/>
      </xdr:nvSpPr>
      <xdr:spPr>
        <a:xfrm>
          <a:off x="824865" y="3387090"/>
          <a:ext cx="6088380" cy="427482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csi 1 5 5 1, exact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Exposed   Unexposed  | 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-----------------+------------------------+------------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Cases |         1           5  |          6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Noncases |         5           1  |          6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-----------------+------------------------+------------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Total |         6           6  |         12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                     |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Risk |  .1666667    .8333333  |         .5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                     |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   Point estimate    |    [95% Conf. Interval]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|------------------------+------------------------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Risk difference |        -.6666667       |   -1.088384   -.2449496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Risk ratio |               .2       |    .0322556    1.240097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Prev. frac. ex. |               .8       |   -.2400966    .9677444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Prev. frac. pop |               .4       |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+-------------------------------------------------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       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1-sided Fisher's exact P = 0.0400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                 2-sided Fisher's exact P = 0.0801</a:t>
          </a:r>
          <a:endParaRPr kumimoji="1" lang="ja-JP" altLang="en-US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</xdr:colOff>
      <xdr:row>30</xdr:row>
      <xdr:rowOff>228600</xdr:rowOff>
    </xdr:from>
    <xdr:to>
      <xdr:col>9</xdr:col>
      <xdr:colOff>828675</xdr:colOff>
      <xdr:row>78</xdr:row>
      <xdr:rowOff>26670</xdr:rowOff>
    </xdr:to>
    <xdr:sp macro="" textlink="">
      <xdr:nvSpPr>
        <xdr:cNvPr id="2" name="テキスト ボックス 1"/>
        <xdr:cNvSpPr txBox="1"/>
      </xdr:nvSpPr>
      <xdr:spPr>
        <a:xfrm>
          <a:off x="874395" y="7648575"/>
          <a:ext cx="7498080" cy="1168527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csi 4 14 51 38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Exposed   Unexposed  | 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-----------------+------------------------+------------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Cases |         4          14  |         18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Noncases |        51          38  |         89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-----------------+------------------------+------------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Total |        55          52  |        107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                     |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Risk |  .0727273    .2692308  |   .1682243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                     |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      Point estimate    |    [95% Conf. Interval]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|------------------------+------------------------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Risk difference |        -.1965035       |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-.3352284   -.0577785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Risk ratio |         .2701299       |    .0950475    .7677233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Prev. frac. ex. |         .7298701       |    .2322767    .9049525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Prev. frac. pop |         .3751669       |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+-------------------------------------------------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    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chi2(1) =     7.38  Pr&gt;chi2 = 0.0066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tabi 4 51 \ 14 38, exact chi2 lrchi2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|          col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row |         1          2 |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1 |         4         51 |        55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2 |        14         38 |        52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Total |        18         89 |       107 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Pearson chi2(1) =   7.3761   Pr = 0.007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likelihood-ratio chi2(1) =   7.7054   Pr = 0.006 </a:t>
          </a:r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&lt;&lt;&lt;===== log-likelihood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Fisher's exact =                 0.009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1-sided Fisher's exact =                 0.006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prtesti 55 0.0727 52 0.2692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Two-sample test of proportion                      x: Number of obs =       55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                                      y: Number of obs =       52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------------------------------------------------------------------------------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Variable |       Mean   Std. Err.      z    P&gt;|z|     [95% Conf. Interval]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-------------+----------------------------------------------------------------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x |      .0727   .0350103                       .004081     .141319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y |      .2692   .0615085                      .1486456    .3897544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-------------+----------------------------------------------------------------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diff |     -.1965   .0707744           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-.3352153   -.0577847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  |  under Ho:    .072348    -2.72   0.007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------------------------------------------------------------------------------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diff = prop(x) - prop(y)                                  z =  -2.7160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Ho: diff = 0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Ha: diff &lt; 0                 Ha: diff != 0                 Ha: diff &gt; 0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Pr(Z &lt; z) = 0.0033         Pr(|Z| &lt; |z|) = 0.0066          Pr(Z &gt; z) = 0.9967</a:t>
          </a: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0</xdr:col>
      <xdr:colOff>834390</xdr:colOff>
      <xdr:row>12</xdr:row>
      <xdr:rowOff>28575</xdr:rowOff>
    </xdr:from>
    <xdr:to>
      <xdr:col>7</xdr:col>
      <xdr:colOff>125730</xdr:colOff>
      <xdr:row>24</xdr:row>
      <xdr:rowOff>238125</xdr:rowOff>
    </xdr:to>
    <xdr:sp macro="" textlink="">
      <xdr:nvSpPr>
        <xdr:cNvPr id="3" name="テキスト ボックス 2"/>
        <xdr:cNvSpPr txBox="1"/>
      </xdr:nvSpPr>
      <xdr:spPr>
        <a:xfrm>
          <a:off x="834390" y="3000375"/>
          <a:ext cx="5158740" cy="3171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tabi 4 51 \ 14 38, e ch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|          col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row |         1          2 |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1 |         4         51 |        55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2 |        14         38 |        52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Total |        18         89 |       107 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Pearson chi2(1) =   7.3761   Pr = 0.007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Fisher's exact =                 0.009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1-sided Fisher's exact =                 0.006</a:t>
          </a:r>
        </a:p>
        <a:p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</xdr:colOff>
      <xdr:row>4</xdr:row>
      <xdr:rowOff>80010</xdr:rowOff>
    </xdr:from>
    <xdr:to>
      <xdr:col>12</xdr:col>
      <xdr:colOff>590550</xdr:colOff>
      <xdr:row>56</xdr:row>
      <xdr:rowOff>118110</xdr:rowOff>
    </xdr:to>
    <xdr:sp macro="" textlink="">
      <xdr:nvSpPr>
        <xdr:cNvPr id="2" name="テキスト ボックス 1"/>
        <xdr:cNvSpPr txBox="1"/>
      </xdr:nvSpPr>
      <xdr:spPr>
        <a:xfrm>
          <a:off x="5033010" y="1070610"/>
          <a:ext cx="5615940" cy="1291590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tabi 4 6 \ 6 4, e ch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|          col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row |         1          2 |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1 |         4          6 |        10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2 |         6          4 |        10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Total |        10         10 |        20 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Pearson chi2(1) =   0.8000   Pr =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0.371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Fisher's exact =       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0.656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1-sided Fisher's exact =                 0.328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tabi 40 60 \ 60 40, e ch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|          col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row |         1          2 |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1 |        40         60 |       100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2 |        60         40 |       100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Total |       100        100 |       200 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Pearson chi2(1) =   8.0000   Pr =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0.005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Fisher's exact =       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0.007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1-sided Fisher's exact =                 </a:t>
          </a:r>
          <a:r>
            <a:rPr kumimoji="1" lang="en-US" altLang="ja-JP" sz="1200">
              <a:solidFill>
                <a:sysClr val="windowText" lastClr="00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0.004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tabi 400 600 \ 600 400, e ch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|          col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row |         1          2 |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1 |       400        600 |     1,000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2 |       600        400 |     1,000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Total |     1,000      1,000 |     2,000 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Pearson chi2(1) =  80.0000   Pr =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0.000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Fisher's exact =       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0.000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1-sided Fisher's exact =                 </a:t>
          </a:r>
          <a:r>
            <a:rPr kumimoji="1" lang="en-US" altLang="ja-JP" sz="1200">
              <a:solidFill>
                <a:sysClr val="windowText" lastClr="00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0.000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. tabi 4900 5100\5100 4900, e ch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|          col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row |         1          2 |     Total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1 |     4,900      5,100 |    10,000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2 |     5,100      4,900 |    10,000 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-----------+----------------------+----------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Total |    10,000     10,000 |    20,000 </a:t>
          </a:r>
        </a:p>
        <a:p>
          <a:endParaRPr kumimoji="1" lang="en-US" altLang="ja-JP" sz="12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Pearson chi2(1) =   8.0000   Pr =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0.005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        Fisher's exact =                 </a:t>
          </a:r>
          <a:r>
            <a:rPr kumimoji="1" lang="en-US" altLang="ja-JP" sz="12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0.005</a:t>
          </a:r>
        </a:p>
        <a:p>
          <a:r>
            <a:rPr kumimoji="1" lang="en-US" altLang="ja-JP" sz="1200">
              <a:latin typeface="AR丸ゴシック体M" panose="020F0609000000000000" pitchFamily="49" charset="-128"/>
              <a:ea typeface="AR丸ゴシック体M" panose="020F0609000000000000" pitchFamily="49" charset="-128"/>
            </a:rPr>
            <a:t>   1-sided Fisher's exact </a:t>
          </a:r>
          <a:r>
            <a:rPr kumimoji="1" lang="en-US" altLang="ja-JP" sz="1200">
              <a:solidFill>
                <a:sysClr val="windowText" lastClr="00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=                 0.002</a:t>
          </a:r>
        </a:p>
        <a:p>
          <a:endParaRPr kumimoji="1" lang="en-US" altLang="ja-JP" sz="11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endParaRPr kumimoji="1" lang="ja-JP" altLang="en-US" sz="1100"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0.17337</cdr:x>
      <cdr:y>0.75104</cdr:y>
    </cdr:from>
    <cdr:to>
      <cdr:x>0.41489</cdr:x>
      <cdr:y>0.85246</cdr:y>
    </cdr:to>
    <cdr:sp macro="" textlink="">
      <cdr:nvSpPr>
        <cdr:cNvPr id="2" name="テキスト ボックス 4"/>
        <cdr:cNvSpPr txBox="1"/>
      </cdr:nvSpPr>
      <cdr:spPr>
        <a:xfrm xmlns:a="http://schemas.openxmlformats.org/drawingml/2006/main">
          <a:off x="1117617" y="3490992"/>
          <a:ext cx="1557003" cy="4714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2400" b="1" i="1">
              <a:latin typeface="Times New Roman" panose="02020603050405020304" pitchFamily="18" charset="0"/>
              <a:cs typeface="Times New Roman" panose="02020603050405020304" pitchFamily="18" charset="0"/>
            </a:rPr>
            <a:t>n=2,</a:t>
          </a:r>
          <a:r>
            <a:rPr kumimoji="1" lang="en-US" altLang="ja-JP" sz="2400" b="1" i="1" baseline="0">
              <a:latin typeface="Times New Roman" panose="02020603050405020304" pitchFamily="18" charset="0"/>
              <a:cs typeface="Times New Roman" panose="02020603050405020304" pitchFamily="18" charset="0"/>
            </a:rPr>
            <a:t> m=10</a:t>
          </a:r>
          <a:endParaRPr kumimoji="1" lang="ja-JP" altLang="en-US" sz="24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0.39677</cdr:x>
      <cdr:y>0.24656</cdr:y>
    </cdr:from>
    <cdr:to>
      <cdr:x>0.69504</cdr:x>
      <cdr:y>0.34754</cdr:y>
    </cdr:to>
    <cdr:sp macro="" textlink="">
      <cdr:nvSpPr>
        <cdr:cNvPr id="3" name="テキスト ボックス 4"/>
        <cdr:cNvSpPr txBox="1"/>
      </cdr:nvSpPr>
      <cdr:spPr>
        <a:xfrm xmlns:a="http://schemas.openxmlformats.org/drawingml/2006/main">
          <a:off x="2557797" y="1146059"/>
          <a:ext cx="1922764" cy="4693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400" b="1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n=5, m=10</a:t>
          </a:r>
          <a:endParaRPr kumimoji="1" lang="ja-JP" altLang="en-US" sz="24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0.45196</cdr:x>
      <cdr:y>0.39655</cdr:y>
    </cdr:from>
    <cdr:to>
      <cdr:x>0.72895</cdr:x>
      <cdr:y>0.50492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3388808" y="1855347"/>
          <a:ext cx="2076894" cy="50700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400" b="1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n=10, m=30</a:t>
          </a:r>
          <a:endParaRPr kumimoji="1" lang="ja-JP" altLang="en-US" sz="24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0.34592</cdr:x>
      <cdr:y>0.46254</cdr:y>
    </cdr:from>
    <cdr:to>
      <cdr:x>0.44919</cdr:x>
      <cdr:y>0.57891</cdr:y>
    </cdr:to>
    <cdr:cxnSp macro="">
      <cdr:nvCxnSpPr>
        <cdr:cNvPr id="13" name="直線矢印コネクタ 12"/>
        <cdr:cNvCxnSpPr/>
      </cdr:nvCxnSpPr>
      <cdr:spPr>
        <a:xfrm xmlns:a="http://schemas.openxmlformats.org/drawingml/2006/main" flipH="1">
          <a:off x="2593707" y="2164080"/>
          <a:ext cx="774333" cy="54444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>
              <a:lumMod val="50000"/>
              <a:lumOff val="50000"/>
            </a:schemeClr>
          </a:solidFill>
          <a:tailEnd type="stealth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0.26926</cdr:x>
      <cdr:y>0.32573</cdr:y>
    </cdr:from>
    <cdr:to>
      <cdr:x>0.39533</cdr:x>
      <cdr:y>0.46846</cdr:y>
    </cdr:to>
    <cdr:cxnSp macro="">
      <cdr:nvCxnSpPr>
        <cdr:cNvPr id="15" name="直線矢印コネクタ 14"/>
        <cdr:cNvCxnSpPr/>
      </cdr:nvCxnSpPr>
      <cdr:spPr>
        <a:xfrm xmlns:a="http://schemas.openxmlformats.org/drawingml/2006/main" flipH="1">
          <a:off x="2018908" y="1524000"/>
          <a:ext cx="945272" cy="667794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>
              <a:lumMod val="50000"/>
              <a:lumOff val="50000"/>
            </a:schemeClr>
          </a:solidFill>
          <a:tailEnd type="stealth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0.26611</cdr:x>
      <cdr:y>0.66393</cdr:y>
    </cdr:from>
    <cdr:to>
      <cdr:x>0.31338</cdr:x>
      <cdr:y>0.75569</cdr:y>
    </cdr:to>
    <cdr:cxnSp macro="">
      <cdr:nvCxnSpPr>
        <cdr:cNvPr id="16" name="直線矢印コネクタ 15"/>
        <cdr:cNvCxnSpPr/>
      </cdr:nvCxnSpPr>
      <cdr:spPr>
        <a:xfrm xmlns:a="http://schemas.openxmlformats.org/drawingml/2006/main" flipV="1">
          <a:off x="1995278" y="3106337"/>
          <a:ext cx="354492" cy="429304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>
              <a:lumMod val="50000"/>
              <a:lumOff val="50000"/>
            </a:schemeClr>
          </a:solidFill>
          <a:tailEnd type="stealth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1752600</xdr:colOff>
      <xdr:row>16</xdr:row>
      <xdr:rowOff>114300</xdr:rowOff>
    </xdr:from>
    <xdr:to>
      <xdr:col>4</xdr:col>
      <xdr:colOff>495300</xdr:colOff>
      <xdr:row>23</xdr:row>
      <xdr:rowOff>205740</xdr:rowOff>
    </xdr:to>
    <xdr:sp macro="" textlink="">
      <xdr:nvSpPr>
        <xdr:cNvPr id="2" name="テキスト ボックス 1"/>
        <xdr:cNvSpPr txBox="1"/>
      </xdr:nvSpPr>
      <xdr:spPr>
        <a:xfrm>
          <a:off x="1752600" y="4015740"/>
          <a:ext cx="6606540" cy="1798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STATA </a:t>
          </a:r>
          <a:r>
            <a:rPr kumimoji="1" lang="ja-JP" altLang="en-US" sz="1100">
              <a:latin typeface="Courier New" panose="02070309020205020404" pitchFamily="49" charset="0"/>
              <a:cs typeface="Courier New" panose="02070309020205020404" pitchFamily="49" charset="0"/>
            </a:rPr>
            <a:t>による計算結果（</a:t>
          </a:r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var2</a:t>
          </a:r>
          <a:r>
            <a:rPr kumimoji="1" lang="ja-JP" altLang="en-US" sz="1100">
              <a:latin typeface="Courier New" panose="02070309020205020404" pitchFamily="49" charset="0"/>
              <a:cs typeface="Courier New" panose="02070309020205020404" pitchFamily="49" charset="0"/>
            </a:rPr>
            <a:t>の値は </a:t>
          </a:r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120 </a:t>
          </a:r>
          <a:r>
            <a:rPr kumimoji="1" lang="ja-JP" altLang="en-US" sz="1100">
              <a:latin typeface="Courier New" panose="02070309020205020404" pitchFamily="49" charset="0"/>
              <a:cs typeface="Courier New" panose="02070309020205020404" pitchFamily="49" charset="0"/>
            </a:rPr>
            <a:t>と </a:t>
          </a:r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130</a:t>
          </a:r>
          <a:r>
            <a:rPr kumimoji="1" lang="ja-JP" altLang="en-US" sz="1100">
              <a:latin typeface="Courier New" panose="02070309020205020404" pitchFamily="49" charset="0"/>
              <a:cs typeface="Courier New" panose="02070309020205020404" pitchFamily="49" charset="0"/>
            </a:rPr>
            <a:t>）</a:t>
          </a:r>
          <a:endParaRPr kumimoji="1" lang="en-US" altLang="ja-JP" sz="11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kumimoji="1" lang="en-US" altLang="ja-JP" sz="11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kumimoji="1" lang="en-US" altLang="ja-JP" sz="11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. ci variances var2</a:t>
          </a:r>
        </a:p>
        <a:p>
          <a:endParaRPr kumimoji="1" lang="en-US" altLang="ja-JP" sz="11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    Variable |        Obs      Variance       [95% Conf. Interval]</a:t>
          </a:r>
        </a:p>
        <a:p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-------------+----------------------------------------------------</a:t>
          </a:r>
        </a:p>
        <a:p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        var2 |          2            50       </a:t>
          </a:r>
          <a:r>
            <a:rPr kumimoji="1" lang="en-US" altLang="ja-JP" sz="1100">
              <a:solidFill>
                <a:srgbClr val="FF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9.952455    50912.91</a:t>
          </a: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37</xdr:row>
      <xdr:rowOff>38100</xdr:rowOff>
    </xdr:from>
    <xdr:to>
      <xdr:col>17</xdr:col>
      <xdr:colOff>561975</xdr:colOff>
      <xdr:row>61</xdr:row>
      <xdr:rowOff>114301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0.12063</cdr:x>
      <cdr:y>0.74648</cdr:y>
    </cdr:from>
    <cdr:to>
      <cdr:x>0.28632</cdr:x>
      <cdr:y>0.74648</cdr:y>
    </cdr:to>
    <cdr:cxnSp macro="">
      <cdr:nvCxnSpPr>
        <cdr:cNvPr id="2" name="直線矢印コネクタ 1"/>
        <cdr:cNvCxnSpPr/>
      </cdr:nvCxnSpPr>
      <cdr:spPr>
        <a:xfrm xmlns:a="http://schemas.openxmlformats.org/drawingml/2006/main" flipH="1">
          <a:off x="1091518" y="4472352"/>
          <a:ext cx="1499282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>
              <a:lumMod val="65000"/>
              <a:lumOff val="35000"/>
            </a:schemeClr>
          </a:solidFill>
          <a:tailEnd type="arrow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0.73721</cdr:x>
      <cdr:y>0.74086</cdr:y>
    </cdr:from>
    <cdr:to>
      <cdr:x>0.89251</cdr:x>
      <cdr:y>0.74086</cdr:y>
    </cdr:to>
    <cdr:cxnSp macro="">
      <cdr:nvCxnSpPr>
        <cdr:cNvPr id="3" name="直線矢印コネクタ 2"/>
        <cdr:cNvCxnSpPr/>
      </cdr:nvCxnSpPr>
      <cdr:spPr>
        <a:xfrm xmlns:a="http://schemas.openxmlformats.org/drawingml/2006/main">
          <a:off x="7439026" y="4392086"/>
          <a:ext cx="1567101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>
              <a:lumMod val="65000"/>
              <a:lumOff val="35000"/>
            </a:schemeClr>
          </a:solidFill>
          <a:tailEnd type="arrow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0.7126</cdr:x>
      <cdr:y>0.62077</cdr:y>
    </cdr:from>
    <cdr:to>
      <cdr:x>0.93823</cdr:x>
      <cdr:y>0.70086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7581705" y="3736895"/>
          <a:ext cx="2400495" cy="482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  </a:t>
          </a:r>
          <a:r>
            <a:rPr lang="en-US" altLang="ja-JP" sz="2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p=0.0059</a:t>
          </a:r>
          <a:endParaRPr lang="ja-JP" altLang="en-US" sz="28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0.10495</cdr:x>
      <cdr:y>0.62063</cdr:y>
    </cdr:from>
    <cdr:to>
      <cdr:x>0.33483</cdr:x>
      <cdr:y>0.70072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116660" y="3736066"/>
          <a:ext cx="2445691" cy="482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  </a:t>
          </a:r>
          <a:r>
            <a:rPr lang="en-US" altLang="ja-JP" sz="2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p=0.0059</a:t>
          </a:r>
          <a:endParaRPr lang="ja-JP" altLang="en-US" sz="28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0.12737</cdr:x>
      <cdr:y>0.89666</cdr:y>
    </cdr:from>
    <cdr:to>
      <cdr:x>0.32947</cdr:x>
      <cdr:y>0.89666</cdr:y>
    </cdr:to>
    <cdr:cxnSp macro="">
      <cdr:nvCxnSpPr>
        <cdr:cNvPr id="17" name="直線矢印コネクタ 16"/>
        <cdr:cNvCxnSpPr/>
      </cdr:nvCxnSpPr>
      <cdr:spPr>
        <a:xfrm xmlns:a="http://schemas.openxmlformats.org/drawingml/2006/main">
          <a:off x="1152525" y="5372101"/>
          <a:ext cx="1828800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0.69614</cdr:x>
      <cdr:y>0.89242</cdr:y>
    </cdr:from>
    <cdr:to>
      <cdr:x>0.89825</cdr:x>
      <cdr:y>0.89242</cdr:y>
    </cdr:to>
    <cdr:cxnSp macro="">
      <cdr:nvCxnSpPr>
        <cdr:cNvPr id="18" name="直線矢印コネクタ 17"/>
        <cdr:cNvCxnSpPr/>
      </cdr:nvCxnSpPr>
      <cdr:spPr>
        <a:xfrm xmlns:a="http://schemas.openxmlformats.org/drawingml/2006/main">
          <a:off x="6299200" y="5346701"/>
          <a:ext cx="1828800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0.17614</cdr:x>
      <cdr:y>0.89401</cdr:y>
    </cdr:from>
    <cdr:to>
      <cdr:x>0.3509</cdr:x>
      <cdr:y>0.9741</cdr:y>
    </cdr:to>
    <cdr:sp macro="" textlink="">
      <cdr:nvSpPr>
        <cdr:cNvPr id="21" name="テキスト ボックス 1"/>
        <cdr:cNvSpPr txBox="1"/>
      </cdr:nvSpPr>
      <cdr:spPr>
        <a:xfrm xmlns:a="http://schemas.openxmlformats.org/drawingml/2006/main">
          <a:off x="1593850" y="5356225"/>
          <a:ext cx="1581319" cy="479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棄却域</a:t>
          </a:r>
        </a:p>
      </cdr:txBody>
    </cdr:sp>
  </cdr:relSizeAnchor>
  <cdr:relSizeAnchor xmlns:cdr="http://schemas.openxmlformats.org/drawingml/2006/chartDrawing">
    <cdr:from>
      <cdr:x>0.74351</cdr:x>
      <cdr:y>0.88765</cdr:y>
    </cdr:from>
    <cdr:to>
      <cdr:x>0.91826</cdr:x>
      <cdr:y>0.96774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6727825" y="5318125"/>
          <a:ext cx="1581319" cy="479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棄却域</a:t>
          </a:r>
        </a:p>
      </cdr:txBody>
    </cdr:sp>
  </cdr:relSizeAnchor>
  <cdr:relSizeAnchor xmlns:cdr="http://schemas.openxmlformats.org/drawingml/2006/chartDrawing">
    <cdr:from>
      <cdr:x>0.67088</cdr:x>
      <cdr:y>0.10705</cdr:y>
    </cdr:from>
    <cdr:to>
      <cdr:x>0.89053</cdr:x>
      <cdr:y>0.18714</cdr:y>
    </cdr:to>
    <cdr:sp macro="" textlink="">
      <cdr:nvSpPr>
        <cdr:cNvPr id="23" name="テキスト ボックス 1"/>
        <cdr:cNvSpPr txBox="1"/>
      </cdr:nvSpPr>
      <cdr:spPr>
        <a:xfrm xmlns:a="http://schemas.openxmlformats.org/drawingml/2006/main">
          <a:off x="6070600" y="641350"/>
          <a:ext cx="1987550" cy="479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B(20, 0.5)</a:t>
          </a:r>
          <a:endParaRPr lang="ja-JP" altLang="en-US" sz="28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0.60737</cdr:x>
      <cdr:y>0.22417</cdr:y>
    </cdr:from>
    <cdr:to>
      <cdr:x>0.68526</cdr:x>
      <cdr:y>0.33386</cdr:y>
    </cdr:to>
    <cdr:cxnSp macro="">
      <cdr:nvCxnSpPr>
        <cdr:cNvPr id="25" name="直線矢印コネクタ 24"/>
        <cdr:cNvCxnSpPr/>
      </cdr:nvCxnSpPr>
      <cdr:spPr>
        <a:xfrm xmlns:a="http://schemas.openxmlformats.org/drawingml/2006/main" flipH="1">
          <a:off x="5495925" y="1343026"/>
          <a:ext cx="704850" cy="657225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stealth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0.68391</cdr:x>
      <cdr:y>0.50857</cdr:y>
    </cdr:from>
    <cdr:to>
      <cdr:x>0.90954</cdr:x>
      <cdr:y>0.58866</cdr:y>
    </cdr:to>
    <cdr:sp macro="" textlink="">
      <cdr:nvSpPr>
        <cdr:cNvPr id="12" name="テキスト ボックス 1"/>
        <cdr:cNvSpPr txBox="1"/>
      </cdr:nvSpPr>
      <cdr:spPr>
        <a:xfrm xmlns:a="http://schemas.openxmlformats.org/drawingml/2006/main">
          <a:off x="6901180" y="3014980"/>
          <a:ext cx="2276784" cy="474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  </a:t>
          </a:r>
          <a:r>
            <a:rPr lang="en-US" altLang="ja-JP" sz="2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p=0.0207</a:t>
          </a:r>
          <a:endParaRPr lang="ja-JP" altLang="en-US" sz="28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0.12661</cdr:x>
      <cdr:y>0.50985</cdr:y>
    </cdr:from>
    <cdr:to>
      <cdr:x>0.35224</cdr:x>
      <cdr:y>0.58994</cdr:y>
    </cdr:to>
    <cdr:sp macro="" textlink="">
      <cdr:nvSpPr>
        <cdr:cNvPr id="13" name="テキスト ボックス 1"/>
        <cdr:cNvSpPr txBox="1"/>
      </cdr:nvSpPr>
      <cdr:spPr>
        <a:xfrm xmlns:a="http://schemas.openxmlformats.org/drawingml/2006/main">
          <a:off x="1277620" y="3022600"/>
          <a:ext cx="2276784" cy="474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  </a:t>
          </a:r>
          <a:r>
            <a:rPr lang="en-US" altLang="ja-JP" sz="2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p=0.0207</a:t>
          </a:r>
          <a:endParaRPr lang="ja-JP" altLang="en-US" sz="28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0.69769</cdr:x>
      <cdr:y>0.62861</cdr:y>
    </cdr:from>
    <cdr:to>
      <cdr:x>0.88975</cdr:x>
      <cdr:y>0.62861</cdr:y>
    </cdr:to>
    <cdr:cxnSp macro="">
      <cdr:nvCxnSpPr>
        <cdr:cNvPr id="16" name="直線矢印コネクタ 15"/>
        <cdr:cNvCxnSpPr/>
      </cdr:nvCxnSpPr>
      <cdr:spPr>
        <a:xfrm xmlns:a="http://schemas.openxmlformats.org/drawingml/2006/main">
          <a:off x="7040248" y="3726606"/>
          <a:ext cx="1938018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>
              <a:lumMod val="65000"/>
              <a:lumOff val="35000"/>
            </a:schemeClr>
          </a:solidFill>
          <a:tailEnd type="arrow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0.12177</cdr:x>
      <cdr:y>0.63166</cdr:y>
    </cdr:from>
    <cdr:to>
      <cdr:x>0.32113</cdr:x>
      <cdr:y>0.63166</cdr:y>
    </cdr:to>
    <cdr:cxnSp macro="">
      <cdr:nvCxnSpPr>
        <cdr:cNvPr id="19" name="直線矢印コネクタ 18"/>
        <cdr:cNvCxnSpPr/>
      </cdr:nvCxnSpPr>
      <cdr:spPr>
        <a:xfrm xmlns:a="http://schemas.openxmlformats.org/drawingml/2006/main" flipH="1">
          <a:off x="1228726" y="3744683"/>
          <a:ext cx="2011680" cy="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>
              <a:lumMod val="65000"/>
              <a:lumOff val="35000"/>
            </a:schemeClr>
          </a:solidFill>
          <a:tailEnd type="arrow" w="lg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6</xdr:row>
      <xdr:rowOff>15240</xdr:rowOff>
    </xdr:from>
    <xdr:to>
      <xdr:col>13</xdr:col>
      <xdr:colOff>613410</xdr:colOff>
      <xdr:row>31</xdr:row>
      <xdr:rowOff>87630</xdr:rowOff>
    </xdr:to>
    <xdr:sp macro="" textlink="">
      <xdr:nvSpPr>
        <xdr:cNvPr id="2" name="テキスト ボックス 1"/>
        <xdr:cNvSpPr txBox="1"/>
      </xdr:nvSpPr>
      <xdr:spPr>
        <a:xfrm>
          <a:off x="6343650" y="1478280"/>
          <a:ext cx="5608320" cy="616839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. bitesti 20 4 0.5</a:t>
          </a:r>
        </a:p>
        <a:p>
          <a:endParaRPr kumimoji="1" lang="en-US" altLang="ja-JP" sz="1200"/>
        </a:p>
        <a:p>
          <a:r>
            <a:rPr kumimoji="1" lang="en-US" altLang="ja-JP" sz="1200"/>
            <a:t>        N   Observed k   Expected k   Assumed p   Observed p</a:t>
          </a:r>
        </a:p>
        <a:p>
          <a:r>
            <a:rPr kumimoji="1" lang="en-US" altLang="ja-JP" sz="1200"/>
            <a:t>------------------------------------------------------------</a:t>
          </a:r>
        </a:p>
        <a:p>
          <a:r>
            <a:rPr kumimoji="1" lang="en-US" altLang="ja-JP" sz="1200"/>
            <a:t>       20          4           10       0.50000      0.20000</a:t>
          </a:r>
        </a:p>
        <a:p>
          <a:endParaRPr kumimoji="1" lang="en-US" altLang="ja-JP" sz="1200"/>
        </a:p>
        <a:p>
          <a:r>
            <a:rPr kumimoji="1" lang="en-US" altLang="ja-JP" sz="1200"/>
            <a:t>  Pr(k &gt;= 4)            = 0.998712  (one-sided test)</a:t>
          </a:r>
        </a:p>
        <a:p>
          <a:r>
            <a:rPr kumimoji="1" lang="en-US" altLang="ja-JP" sz="1200"/>
            <a:t>  </a:t>
          </a:r>
          <a:r>
            <a:rPr kumimoji="1" lang="en-US" altLang="ja-JP" sz="1200">
              <a:solidFill>
                <a:srgbClr val="FF0000"/>
              </a:solidFill>
            </a:rPr>
            <a:t>Pr(k &lt;= 4)            = 0.005909  </a:t>
          </a:r>
          <a:r>
            <a:rPr kumimoji="1" lang="en-US" altLang="ja-JP" sz="1200"/>
            <a:t>(one-sided test)</a:t>
          </a:r>
        </a:p>
        <a:p>
          <a:r>
            <a:rPr kumimoji="1" lang="en-US" altLang="ja-JP" sz="1200"/>
            <a:t>  </a:t>
          </a:r>
          <a:r>
            <a:rPr kumimoji="1" lang="en-US" altLang="ja-JP" sz="1200">
              <a:solidFill>
                <a:srgbClr val="FF0000"/>
              </a:solidFill>
            </a:rPr>
            <a:t>Pr(k &lt;= 4 or k &gt;= 16) = 0.011818  </a:t>
          </a:r>
          <a:r>
            <a:rPr kumimoji="1" lang="en-US" altLang="ja-JP" sz="1200"/>
            <a:t>(two-sided test)</a:t>
          </a:r>
        </a:p>
        <a:p>
          <a:endParaRPr kumimoji="1" lang="en-US" altLang="ja-JP" sz="1200"/>
        </a:p>
        <a:p>
          <a:endParaRPr kumimoji="1" lang="en-US" altLang="ja-JP" sz="1200"/>
        </a:p>
        <a:p>
          <a:r>
            <a:rPr kumimoji="1" lang="en-US" altLang="ja-JP" sz="1200"/>
            <a:t>. bitesti 20 5 0.5</a:t>
          </a:r>
        </a:p>
        <a:p>
          <a:endParaRPr kumimoji="1" lang="en-US" altLang="ja-JP" sz="1200"/>
        </a:p>
        <a:p>
          <a:r>
            <a:rPr kumimoji="1" lang="en-US" altLang="ja-JP" sz="1200"/>
            <a:t>        N   Observed k   Expected k   Assumed p   Observed p</a:t>
          </a:r>
        </a:p>
        <a:p>
          <a:r>
            <a:rPr kumimoji="1" lang="en-US" altLang="ja-JP" sz="1200"/>
            <a:t>------------------------------------------------------------</a:t>
          </a:r>
        </a:p>
        <a:p>
          <a:r>
            <a:rPr kumimoji="1" lang="en-US" altLang="ja-JP" sz="1200"/>
            <a:t>       20          5           10       0.50000      0.25000</a:t>
          </a:r>
        </a:p>
        <a:p>
          <a:endParaRPr kumimoji="1" lang="en-US" altLang="ja-JP" sz="1200"/>
        </a:p>
        <a:p>
          <a:r>
            <a:rPr kumimoji="1" lang="en-US" altLang="ja-JP" sz="1200"/>
            <a:t>  Pr(k &gt;= 5)            = 0.994091  (one-sided test)</a:t>
          </a:r>
        </a:p>
        <a:p>
          <a:r>
            <a:rPr kumimoji="1" lang="en-US" altLang="ja-JP" sz="1200"/>
            <a:t>  </a:t>
          </a:r>
          <a:r>
            <a:rPr kumimoji="1" lang="en-US" altLang="ja-JP" sz="1200">
              <a:solidFill>
                <a:srgbClr val="FF0000"/>
              </a:solidFill>
            </a:rPr>
            <a:t>Pr(k &lt;= 5)            = 0.020695  </a:t>
          </a:r>
          <a:r>
            <a:rPr kumimoji="1" lang="en-US" altLang="ja-JP" sz="1200"/>
            <a:t>(one-sided test)</a:t>
          </a:r>
        </a:p>
        <a:p>
          <a:r>
            <a:rPr kumimoji="1" lang="en-US" altLang="ja-JP" sz="1200"/>
            <a:t>  </a:t>
          </a:r>
          <a:r>
            <a:rPr kumimoji="1" lang="en-US" altLang="ja-JP" sz="1200">
              <a:solidFill>
                <a:srgbClr val="FF0000"/>
              </a:solidFill>
            </a:rPr>
            <a:t>Pr(k &lt;= 5 or k &gt;= 15) = 0.041389  </a:t>
          </a:r>
          <a:r>
            <a:rPr kumimoji="1" lang="en-US" altLang="ja-JP" sz="1200"/>
            <a:t>(two-sided test)</a:t>
          </a:r>
        </a:p>
        <a:p>
          <a:endParaRPr kumimoji="1" lang="en-US" altLang="ja-JP" sz="1200"/>
        </a:p>
        <a:p>
          <a:r>
            <a:rPr kumimoji="1" lang="en-US" altLang="ja-JP" sz="1200"/>
            <a:t>. bitesti 20 6 0.5</a:t>
          </a:r>
        </a:p>
        <a:p>
          <a:endParaRPr kumimoji="1" lang="en-US" altLang="ja-JP" sz="1200"/>
        </a:p>
        <a:p>
          <a:r>
            <a:rPr kumimoji="1" lang="en-US" altLang="ja-JP" sz="1200"/>
            <a:t>        N   Observed k   Expected k   Assumed p   Observed p</a:t>
          </a:r>
        </a:p>
        <a:p>
          <a:r>
            <a:rPr kumimoji="1" lang="en-US" altLang="ja-JP" sz="1200"/>
            <a:t>------------------------------------------------------------</a:t>
          </a:r>
        </a:p>
        <a:p>
          <a:r>
            <a:rPr kumimoji="1" lang="en-US" altLang="ja-JP" sz="1200"/>
            <a:t>       20          6           10       0.50000      0.30000</a:t>
          </a:r>
        </a:p>
        <a:p>
          <a:endParaRPr kumimoji="1" lang="en-US" altLang="ja-JP" sz="1200"/>
        </a:p>
        <a:p>
          <a:r>
            <a:rPr kumimoji="1" lang="en-US" altLang="ja-JP" sz="1200"/>
            <a:t>  Pr(k &gt;= 6)            = 0.979305  (one-sided test)</a:t>
          </a:r>
        </a:p>
        <a:p>
          <a:r>
            <a:rPr kumimoji="1" lang="en-US" altLang="ja-JP" sz="1200">
              <a:solidFill>
                <a:srgbClr val="FF0000"/>
              </a:solidFill>
            </a:rPr>
            <a:t>  Pr(k &lt;= 6)            = 0.057659  </a:t>
          </a:r>
          <a:r>
            <a:rPr kumimoji="1" lang="en-US" altLang="ja-JP" sz="1200"/>
            <a:t>(one-sided test)</a:t>
          </a:r>
        </a:p>
        <a:p>
          <a:r>
            <a:rPr kumimoji="1" lang="en-US" altLang="ja-JP" sz="1200">
              <a:solidFill>
                <a:srgbClr val="FF0000"/>
              </a:solidFill>
            </a:rPr>
            <a:t>  Pr(k &lt;= 6 or k &gt;= 14) = 0.115318  </a:t>
          </a:r>
          <a:r>
            <a:rPr kumimoji="1" lang="en-US" altLang="ja-JP" sz="1200"/>
            <a:t>(two-sided test)</a:t>
          </a:r>
        </a:p>
        <a:p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767715</xdr:colOff>
      <xdr:row>11</xdr:row>
      <xdr:rowOff>205740</xdr:rowOff>
    </xdr:from>
    <xdr:ext cx="5890260" cy="4413388"/>
    <xdr:sp macro="" textlink="">
      <xdr:nvSpPr>
        <xdr:cNvPr id="3" name="テキスト ボックス 2"/>
        <xdr:cNvSpPr txBox="1"/>
      </xdr:nvSpPr>
      <xdr:spPr>
        <a:xfrm>
          <a:off x="2444115" y="2929890"/>
          <a:ext cx="5890260" cy="4413388"/>
        </a:xfrm>
        <a:prstGeom prst="rect">
          <a:avLst/>
        </a:prstGeom>
        <a:solidFill>
          <a:srgbClr val="FFFFCC"/>
        </a:solidFill>
        <a:ln>
          <a:noFill/>
        </a:ln>
        <a:effectLst/>
      </xdr:spPr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. cii 20 4, </a:t>
          </a: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exact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                                                     -- Binomial Exact --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Variable |        Obs        Mean    Std. Err.       [95% Conf. Interval]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-------------+---------------------------------------------------------------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         |         20          .2    .0894427         </a:t>
          </a: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.057334     .436614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. cii 20 4, </a:t>
          </a: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wilson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                                                     ------ Wilson ------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Variable |        Obs        Mean    Std. Err.       [95% Conf. Interval]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-------------+---------------------------------------------------------------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         |         20          .2    .0894427        </a:t>
          </a: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.0806577    .4160174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. cii 20 4, </a:t>
          </a: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agresti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                                                     -- Agresti-Coull ---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Variable |        Obs        Mean    Std. Err.       [95% Conf. Interval]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-------------+---------------------------------------------------------------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             |         20          .2    .0894427        </a:t>
          </a: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.0749115    .4217636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617220</xdr:colOff>
      <xdr:row>5</xdr:row>
      <xdr:rowOff>167640</xdr:rowOff>
    </xdr:from>
    <xdr:to>
      <xdr:col>11</xdr:col>
      <xdr:colOff>434340</xdr:colOff>
      <xdr:row>16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691514</xdr:colOff>
      <xdr:row>23</xdr:row>
      <xdr:rowOff>154304</xdr:rowOff>
    </xdr:from>
    <xdr:to>
      <xdr:col>12</xdr:col>
      <xdr:colOff>0</xdr:colOff>
      <xdr:row>37</xdr:row>
      <xdr:rowOff>9525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0.91344</cdr:x>
      <cdr:y>0.67918</cdr:y>
    </cdr:from>
    <cdr:to>
      <cdr:x>0.95948</cdr:x>
      <cdr:y>0.90102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24401" y="1895476"/>
          <a:ext cx="238125" cy="619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2800" i="1"/>
            <a:t>p</a:t>
          </a:r>
          <a:endParaRPr lang="ja-JP" altLang="en-US" sz="2800" i="1"/>
        </a:p>
      </cdr:txBody>
    </cdr:sp>
  </cdr:relSizeAnchor>
  <cdr:relSizeAnchor xmlns:cdr="http://schemas.openxmlformats.org/drawingml/2006/chartDrawing">
    <cdr:from>
      <cdr:x>0.02246</cdr:x>
      <cdr:y>0.06716</cdr:y>
    </cdr:from>
    <cdr:to>
      <cdr:x>0.43299</cdr:x>
      <cdr:y>0.24225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16205" y="222887"/>
          <a:ext cx="2124075" cy="58102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X=3</a:t>
          </a:r>
          <a:r>
            <a:rPr lang="ja-JP" altLang="en-US" sz="18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になる確率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1"/>
  <sheetViews>
    <sheetView topLeftCell="A10" workbookViewId="0"/>
  </sheetViews>
  <sheetFormatPr defaultRowHeight="19.5" x14ac:dyDescent="0.45"/>
  <cols>
    <col min="2" max="2" width="8.69921875" style="1"/>
    <col min="3" max="6" width="11.296875" style="1" customWidth="1"/>
  </cols>
  <sheetData>
    <row r="2" spans="2:6" x14ac:dyDescent="0.45">
      <c r="B2" s="232" t="s">
        <v>196</v>
      </c>
      <c r="C2" s="233"/>
      <c r="D2" s="233"/>
      <c r="E2" s="233"/>
      <c r="F2" s="145"/>
    </row>
    <row r="3" spans="2:6" x14ac:dyDescent="0.45">
      <c r="B3" s="233"/>
      <c r="C3" s="233"/>
      <c r="D3" s="233"/>
      <c r="E3" s="233"/>
      <c r="F3" s="145"/>
    </row>
    <row r="4" spans="2:6" x14ac:dyDescent="0.45">
      <c r="B4" s="233"/>
      <c r="C4" s="233"/>
      <c r="D4" s="233"/>
      <c r="E4" s="233"/>
      <c r="F4" s="145"/>
    </row>
    <row r="5" spans="2:6" x14ac:dyDescent="0.45">
      <c r="B5" s="233"/>
      <c r="C5" s="233"/>
      <c r="D5" s="233"/>
      <c r="E5" s="233"/>
      <c r="F5" s="145"/>
    </row>
    <row r="6" spans="2:6" x14ac:dyDescent="0.45">
      <c r="B6" s="145"/>
      <c r="C6" s="145"/>
      <c r="D6" s="145"/>
      <c r="E6" s="145"/>
      <c r="F6" s="145"/>
    </row>
    <row r="7" spans="2:6" x14ac:dyDescent="0.45">
      <c r="B7" s="234" t="s">
        <v>197</v>
      </c>
      <c r="C7" s="234"/>
      <c r="D7" s="235" t="s">
        <v>198</v>
      </c>
      <c r="E7" s="236"/>
      <c r="F7" s="236"/>
    </row>
    <row r="8" spans="2:6" x14ac:dyDescent="0.45">
      <c r="B8" s="145"/>
      <c r="C8" s="145"/>
      <c r="D8" s="145"/>
      <c r="E8" s="145"/>
      <c r="F8" s="145"/>
    </row>
    <row r="9" spans="2:6" x14ac:dyDescent="0.45">
      <c r="B9" s="1" t="s">
        <v>0</v>
      </c>
      <c r="C9" s="1">
        <v>2</v>
      </c>
      <c r="D9" s="1">
        <v>5</v>
      </c>
      <c r="E9" s="1">
        <v>10</v>
      </c>
    </row>
    <row r="10" spans="2:6" x14ac:dyDescent="0.45">
      <c r="B10" s="3" t="s">
        <v>1</v>
      </c>
      <c r="C10" s="3">
        <v>10</v>
      </c>
      <c r="D10" s="3">
        <v>10</v>
      </c>
      <c r="E10" s="3">
        <v>30</v>
      </c>
    </row>
    <row r="11" spans="2:6" x14ac:dyDescent="0.45">
      <c r="B11" s="1">
        <v>0</v>
      </c>
      <c r="C11" s="152">
        <f>_xlfn.F.DIST($B11, C$9,C$10, FALSE)</f>
        <v>1</v>
      </c>
      <c r="D11" s="152">
        <f t="shared" ref="D11:E27" si="0">_xlfn.F.DIST($B11, D$9,D$10, FALSE)</f>
        <v>0</v>
      </c>
      <c r="E11" s="152">
        <f t="shared" si="0"/>
        <v>0</v>
      </c>
      <c r="F11" s="2"/>
    </row>
    <row r="12" spans="2:6" x14ac:dyDescent="0.45">
      <c r="B12" s="1">
        <v>0.1</v>
      </c>
      <c r="C12" s="152">
        <f>_xlfn.F.DIST($B12, C$9,C$10, FALSE)</f>
        <v>0.88797138218619232</v>
      </c>
      <c r="D12" s="152">
        <f t="shared" si="0"/>
        <v>0.22740009356190707</v>
      </c>
      <c r="E12" s="152">
        <f t="shared" si="0"/>
        <v>1.241823778680674E-2</v>
      </c>
      <c r="F12" s="2"/>
    </row>
    <row r="13" spans="2:6" x14ac:dyDescent="0.45">
      <c r="B13" s="1">
        <v>0.2</v>
      </c>
      <c r="C13" s="152">
        <f t="shared" ref="C13:E44" si="1">_xlfn.F.DIST($B13, C$9,C$10, FALSE)</f>
        <v>0.79031452573014604</v>
      </c>
      <c r="D13" s="152">
        <f t="shared" si="0"/>
        <v>0.45374331211800045</v>
      </c>
      <c r="E13" s="152">
        <f t="shared" si="0"/>
        <v>0.10529657971429059</v>
      </c>
      <c r="F13" s="2"/>
    </row>
    <row r="14" spans="2:6" x14ac:dyDescent="0.45">
      <c r="B14" s="1">
        <v>0.3</v>
      </c>
      <c r="C14" s="152">
        <f t="shared" si="1"/>
        <v>0.70496054043967671</v>
      </c>
      <c r="D14" s="152">
        <f t="shared" si="0"/>
        <v>0.59725316723209332</v>
      </c>
      <c r="E14" s="152">
        <f t="shared" si="0"/>
        <v>0.2880713511107903</v>
      </c>
      <c r="F14" s="2"/>
    </row>
    <row r="15" spans="2:6" x14ac:dyDescent="0.45">
      <c r="B15" s="1">
        <v>0.4</v>
      </c>
      <c r="C15" s="152">
        <f t="shared" si="1"/>
        <v>0.63016962688310485</v>
      </c>
      <c r="D15" s="152">
        <f t="shared" si="0"/>
        <v>0.66825316399430246</v>
      </c>
      <c r="E15" s="152">
        <f t="shared" si="0"/>
        <v>0.50113585058373333</v>
      </c>
      <c r="F15" s="2"/>
    </row>
    <row r="16" spans="2:6" x14ac:dyDescent="0.45">
      <c r="B16" s="1">
        <v>0.5</v>
      </c>
      <c r="C16" s="152">
        <f t="shared" si="1"/>
        <v>0.56447393005377744</v>
      </c>
      <c r="D16" s="152">
        <f t="shared" si="0"/>
        <v>0.6876070027706237</v>
      </c>
      <c r="E16" s="152">
        <f t="shared" si="0"/>
        <v>0.68519309631557002</v>
      </c>
      <c r="F16" s="2"/>
    </row>
    <row r="17" spans="2:6" x14ac:dyDescent="0.45">
      <c r="B17" s="1">
        <v>0.6</v>
      </c>
      <c r="C17" s="152">
        <f t="shared" si="1"/>
        <v>0.50663112117732101</v>
      </c>
      <c r="D17" s="152">
        <f t="shared" si="0"/>
        <v>0.67353801914760469</v>
      </c>
      <c r="E17" s="152">
        <f t="shared" si="0"/>
        <v>0.80881432486869043</v>
      </c>
      <c r="F17" s="2"/>
    </row>
    <row r="18" spans="2:6" x14ac:dyDescent="0.45">
      <c r="B18" s="1">
        <v>0.7</v>
      </c>
      <c r="C18" s="152">
        <f t="shared" si="1"/>
        <v>0.45558654768404871</v>
      </c>
      <c r="D18" s="152">
        <f t="shared" si="0"/>
        <v>0.63952006988131016</v>
      </c>
      <c r="E18" s="152">
        <f t="shared" si="0"/>
        <v>0.86626651422096645</v>
      </c>
      <c r="F18" s="2"/>
    </row>
    <row r="19" spans="2:6" x14ac:dyDescent="0.45">
      <c r="B19" s="1">
        <v>0.8</v>
      </c>
      <c r="C19" s="152">
        <f t="shared" si="1"/>
        <v>0.4104422546674158</v>
      </c>
      <c r="D19" s="152">
        <f t="shared" si="0"/>
        <v>0.59481935945130648</v>
      </c>
      <c r="E19" s="152">
        <f t="shared" si="0"/>
        <v>0.8669256721831885</v>
      </c>
      <c r="F19" s="2"/>
    </row>
    <row r="20" spans="2:6" x14ac:dyDescent="0.45">
      <c r="B20" s="1">
        <v>0.9</v>
      </c>
      <c r="C20" s="152">
        <f t="shared" si="1"/>
        <v>0.37043153917835475</v>
      </c>
      <c r="D20" s="152">
        <f t="shared" si="0"/>
        <v>0.54552433612516693</v>
      </c>
      <c r="E20" s="152">
        <f t="shared" si="0"/>
        <v>0.8259842105433558</v>
      </c>
      <c r="F20" s="2"/>
    </row>
    <row r="21" spans="2:6" x14ac:dyDescent="0.45">
      <c r="B21" s="1">
        <v>1</v>
      </c>
      <c r="C21" s="152">
        <f t="shared" si="1"/>
        <v>0.33489797668038412</v>
      </c>
      <c r="D21" s="152">
        <f t="shared" si="0"/>
        <v>0.49547978348663885</v>
      </c>
      <c r="E21" s="152">
        <f t="shared" si="0"/>
        <v>0.75874181946346664</v>
      </c>
      <c r="F21" s="2"/>
    </row>
    <row r="22" spans="2:6" x14ac:dyDescent="0.45">
      <c r="B22" s="1">
        <v>1.1000000000000001</v>
      </c>
      <c r="C22" s="152">
        <f t="shared" si="1"/>
        <v>0.3032780757864183</v>
      </c>
      <c r="D22" s="152">
        <f t="shared" si="0"/>
        <v>0.44700427183375219</v>
      </c>
      <c r="E22" s="152">
        <f t="shared" si="0"/>
        <v>0.67793406105433207</v>
      </c>
      <c r="F22" s="2"/>
    </row>
    <row r="23" spans="2:6" x14ac:dyDescent="0.45">
      <c r="B23" s="1">
        <v>1.2</v>
      </c>
      <c r="C23" s="152">
        <f t="shared" si="1"/>
        <v>0.27508688721709101</v>
      </c>
      <c r="D23" s="152">
        <f t="shared" si="0"/>
        <v>0.4014046333892774</v>
      </c>
      <c r="E23" s="152">
        <f t="shared" si="0"/>
        <v>0.59297041330452882</v>
      </c>
      <c r="F23" s="2"/>
    </row>
    <row r="24" spans="2:6" x14ac:dyDescent="0.45">
      <c r="B24" s="1">
        <v>1.3</v>
      </c>
      <c r="C24" s="152">
        <f t="shared" si="1"/>
        <v>0.2499060265013569</v>
      </c>
      <c r="D24" s="152">
        <f t="shared" si="0"/>
        <v>0.35933194561830423</v>
      </c>
      <c r="E24" s="152">
        <f t="shared" si="0"/>
        <v>0.51015029939435108</v>
      </c>
      <c r="F24" s="2"/>
    </row>
    <row r="25" spans="2:6" x14ac:dyDescent="0.45">
      <c r="B25" s="1">
        <v>1.4</v>
      </c>
      <c r="C25" s="152">
        <f t="shared" si="1"/>
        <v>0.22737367544323214</v>
      </c>
      <c r="D25" s="152">
        <f t="shared" si="0"/>
        <v>0.32102253895741684</v>
      </c>
      <c r="E25" s="152">
        <f t="shared" si="0"/>
        <v>0.43326385664901251</v>
      </c>
      <c r="F25" s="2"/>
    </row>
    <row r="26" spans="2:6" x14ac:dyDescent="0.45">
      <c r="B26" s="1">
        <v>1.5</v>
      </c>
      <c r="C26" s="152">
        <f t="shared" si="1"/>
        <v>0.20717621103300343</v>
      </c>
      <c r="D26" s="152">
        <f t="shared" si="0"/>
        <v>0.28645862666105687</v>
      </c>
      <c r="E26" s="152">
        <f t="shared" si="0"/>
        <v>0.36425758920905527</v>
      </c>
      <c r="F26" s="2"/>
    </row>
    <row r="27" spans="2:6" x14ac:dyDescent="0.45">
      <c r="B27" s="1">
        <v>1.6</v>
      </c>
      <c r="C27" s="152">
        <f t="shared" si="1"/>
        <v>0.18904117706383466</v>
      </c>
      <c r="D27" s="152">
        <f t="shared" si="0"/>
        <v>0.25547391758654514</v>
      </c>
      <c r="E27" s="152">
        <f t="shared" si="0"/>
        <v>0.30382054973820533</v>
      </c>
      <c r="F27" s="2"/>
    </row>
    <row r="28" spans="2:6" x14ac:dyDescent="0.45">
      <c r="B28" s="1">
        <v>1.7</v>
      </c>
      <c r="C28" s="152">
        <f t="shared" si="1"/>
        <v>0.17273136690426769</v>
      </c>
      <c r="D28" s="152">
        <f t="shared" si="1"/>
        <v>0.2278220739608092</v>
      </c>
      <c r="E28" s="152">
        <f t="shared" si="1"/>
        <v>0.25184444446520754</v>
      </c>
      <c r="F28" s="2"/>
    </row>
    <row r="29" spans="2:6" x14ac:dyDescent="0.45">
      <c r="B29" s="1">
        <v>1.8</v>
      </c>
      <c r="C29" s="152">
        <f t="shared" si="1"/>
        <v>0.15803982851897802</v>
      </c>
      <c r="D29" s="152">
        <f t="shared" si="1"/>
        <v>0.20322032078762112</v>
      </c>
      <c r="E29" s="152">
        <f t="shared" si="1"/>
        <v>0.20775865311575842</v>
      </c>
      <c r="F29" s="2"/>
    </row>
    <row r="30" spans="2:6" x14ac:dyDescent="0.45">
      <c r="B30" s="1">
        <v>1.9</v>
      </c>
      <c r="C30" s="152">
        <f t="shared" si="1"/>
        <v>0.14478563713387499</v>
      </c>
      <c r="D30" s="152">
        <f t="shared" si="1"/>
        <v>0.18137657565807638</v>
      </c>
      <c r="E30" s="152">
        <f t="shared" si="1"/>
        <v>0.17076019869386433</v>
      </c>
      <c r="F30" s="2"/>
    </row>
    <row r="31" spans="2:6" x14ac:dyDescent="0.45">
      <c r="B31" s="1">
        <v>2</v>
      </c>
      <c r="C31" s="152">
        <f t="shared" si="1"/>
        <v>0.13281030862990764</v>
      </c>
      <c r="D31" s="152">
        <f t="shared" si="1"/>
        <v>0.16200574218011499</v>
      </c>
      <c r="E31" s="152">
        <f t="shared" si="1"/>
        <v>0.13996316161663319</v>
      </c>
      <c r="F31" s="2"/>
    </row>
    <row r="32" spans="2:6" x14ac:dyDescent="0.45">
      <c r="B32" s="1">
        <v>2.1</v>
      </c>
      <c r="C32" s="152">
        <f t="shared" si="1"/>
        <v>0.12197474917101674</v>
      </c>
      <c r="D32" s="152">
        <f t="shared" si="1"/>
        <v>0.14483894949223716</v>
      </c>
      <c r="E32" s="152">
        <f t="shared" si="1"/>
        <v>0.11448998677558558</v>
      </c>
      <c r="F32" s="2"/>
    </row>
    <row r="33" spans="2:6" x14ac:dyDescent="0.45">
      <c r="B33" s="1">
        <v>2.2000000000000002</v>
      </c>
      <c r="C33" s="152">
        <f t="shared" si="1"/>
        <v>0.1121566547846151</v>
      </c>
      <c r="D33" s="152">
        <f t="shared" si="1"/>
        <v>0.12962826037503339</v>
      </c>
      <c r="E33" s="152">
        <f t="shared" si="1"/>
        <v>9.3522842645538631E-2</v>
      </c>
      <c r="F33" s="2"/>
    </row>
    <row r="34" spans="2:6" x14ac:dyDescent="0.45">
      <c r="B34" s="1">
        <v>2.2999999999999998</v>
      </c>
      <c r="C34" s="152">
        <f t="shared" si="1"/>
        <v>0.10324828945278543</v>
      </c>
      <c r="D34" s="152">
        <f t="shared" si="1"/>
        <v>0.11614852172881929</v>
      </c>
      <c r="E34" s="152">
        <f t="shared" si="1"/>
        <v>7.6328688500441791E-2</v>
      </c>
      <c r="F34" s="2"/>
    </row>
    <row r="35" spans="2:6" x14ac:dyDescent="0.45">
      <c r="B35" s="1">
        <v>2.4</v>
      </c>
      <c r="C35" s="152">
        <f t="shared" si="1"/>
        <v>9.5154582399592111E-2</v>
      </c>
      <c r="D35" s="152">
        <f t="shared" si="1"/>
        <v>0.10419746145839145</v>
      </c>
      <c r="E35" s="152">
        <f t="shared" si="1"/>
        <v>6.2267813878366225E-2</v>
      </c>
      <c r="F35" s="2"/>
    </row>
    <row r="36" spans="2:6" x14ac:dyDescent="0.45">
      <c r="B36" s="1">
        <v>2.5</v>
      </c>
      <c r="C36" s="152">
        <f t="shared" si="1"/>
        <v>8.7791495198902614E-2</v>
      </c>
      <c r="D36" s="152">
        <f t="shared" si="1"/>
        <v>9.3594754449685569E-2</v>
      </c>
      <c r="E36" s="152">
        <f t="shared" si="1"/>
        <v>5.0792558917055378E-2</v>
      </c>
      <c r="F36" s="2"/>
    </row>
    <row r="37" spans="2:6" x14ac:dyDescent="0.45">
      <c r="B37" s="1">
        <v>2.6</v>
      </c>
      <c r="C37" s="152">
        <f t="shared" si="1"/>
        <v>8.1084617495525257E-2</v>
      </c>
      <c r="D37" s="152">
        <f t="shared" si="1"/>
        <v>8.4180525765138722E-2</v>
      </c>
      <c r="E37" s="152">
        <f t="shared" si="1"/>
        <v>4.1440663478487572E-2</v>
      </c>
      <c r="F37" s="2"/>
    </row>
    <row r="38" spans="2:6" x14ac:dyDescent="0.45">
      <c r="B38" s="1">
        <v>2.7</v>
      </c>
      <c r="C38" s="152">
        <f t="shared" si="1"/>
        <v>7.4967956863979057E-2</v>
      </c>
      <c r="D38" s="152">
        <f t="shared" si="1"/>
        <v>7.5813589824710717E-2</v>
      </c>
      <c r="E38" s="152">
        <f t="shared" si="1"/>
        <v>3.3826089327678187E-2</v>
      </c>
      <c r="F38" s="2"/>
    </row>
    <row r="39" spans="2:6" x14ac:dyDescent="0.45">
      <c r="B39" s="1">
        <v>2.8</v>
      </c>
      <c r="C39" s="152">
        <f t="shared" si="1"/>
        <v>6.9382893891261066E-2</v>
      </c>
      <c r="D39" s="152">
        <f t="shared" si="1"/>
        <v>6.8369612152579584E-2</v>
      </c>
      <c r="E39" s="152">
        <f t="shared" si="1"/>
        <v>2.7629059542155703E-2</v>
      </c>
      <c r="F39" s="2"/>
    </row>
    <row r="40" spans="2:6" x14ac:dyDescent="0.45">
      <c r="B40" s="1">
        <v>2.9</v>
      </c>
      <c r="C40" s="152">
        <f t="shared" si="1"/>
        <v>6.4277278177565914E-2</v>
      </c>
      <c r="D40" s="152">
        <f t="shared" si="1"/>
        <v>6.1739306401918791E-2</v>
      </c>
      <c r="E40" s="152">
        <f t="shared" si="1"/>
        <v>2.2586326766479821E-2</v>
      </c>
      <c r="F40" s="2"/>
    </row>
    <row r="41" spans="2:6" x14ac:dyDescent="0.45">
      <c r="B41" s="1">
        <v>3</v>
      </c>
      <c r="C41" s="152">
        <f t="shared" si="1"/>
        <v>5.9604644775390604E-2</v>
      </c>
      <c r="D41" s="152">
        <f t="shared" si="1"/>
        <v>5.5826731145572253E-2</v>
      </c>
      <c r="E41" s="152">
        <f t="shared" si="1"/>
        <v>1.8482208251953125E-2</v>
      </c>
      <c r="F41" s="2"/>
    </row>
    <row r="42" spans="2:6" x14ac:dyDescent="0.45">
      <c r="B42" s="1">
        <v>3.1</v>
      </c>
      <c r="C42" s="152">
        <f t="shared" si="1"/>
        <v>5.5323533773002316E-2</v>
      </c>
      <c r="D42" s="152">
        <f t="shared" si="1"/>
        <v>5.0547719817400388E-2</v>
      </c>
      <c r="E42" s="152">
        <f t="shared" si="1"/>
        <v>1.5140629193418445E-2</v>
      </c>
      <c r="F42" s="2"/>
    </row>
    <row r="43" spans="2:6" x14ac:dyDescent="0.45">
      <c r="B43" s="1">
        <v>3.2</v>
      </c>
      <c r="C43" s="152">
        <f t="shared" si="1"/>
        <v>5.1396898386508467E-2</v>
      </c>
      <c r="D43" s="152">
        <f t="shared" si="1"/>
        <v>4.5828457479904411E-2</v>
      </c>
      <c r="E43" s="152">
        <f t="shared" si="1"/>
        <v>1.2418237786806733E-2</v>
      </c>
      <c r="F43" s="2"/>
    </row>
    <row r="44" spans="2:6" x14ac:dyDescent="0.45">
      <c r="B44" s="1">
        <v>3.3</v>
      </c>
      <c r="C44" s="152">
        <f t="shared" si="1"/>
        <v>4.779158914816832E-2</v>
      </c>
      <c r="D44" s="152">
        <f t="shared" si="1"/>
        <v>4.1604205929988827E-2</v>
      </c>
      <c r="E44" s="152">
        <f t="shared" si="1"/>
        <v>1.0198554443860124E-2</v>
      </c>
      <c r="F44" s="2"/>
    </row>
    <row r="45" spans="2:6" x14ac:dyDescent="0.45">
      <c r="B45" s="1">
        <v>3.4</v>
      </c>
      <c r="C45" s="152">
        <f t="shared" ref="C45:E61" si="2">_xlfn.F.DIST($B45, C$9,C$10, FALSE)</f>
        <v>4.447790364245343E-2</v>
      </c>
      <c r="D45" s="152">
        <f t="shared" si="2"/>
        <v>3.7818171452722503E-2</v>
      </c>
      <c r="E45" s="152">
        <f t="shared" si="2"/>
        <v>8.3870655387089273E-3</v>
      </c>
      <c r="F45" s="2"/>
    </row>
    <row r="46" spans="2:6" x14ac:dyDescent="0.45">
      <c r="B46" s="1">
        <v>3.5</v>
      </c>
      <c r="C46" s="152">
        <f t="shared" si="2"/>
        <v>4.142919280727899E-2</v>
      </c>
      <c r="D46" s="152">
        <f t="shared" si="2"/>
        <v>3.4420505560927989E-2</v>
      </c>
      <c r="E46" s="152">
        <f t="shared" si="2"/>
        <v>6.9071500835535208E-3</v>
      </c>
      <c r="F46" s="2"/>
    </row>
    <row r="47" spans="2:6" x14ac:dyDescent="0.45">
      <c r="B47" s="1">
        <v>3.6</v>
      </c>
      <c r="C47" s="152">
        <f t="shared" si="2"/>
        <v>3.8621516136242408E-2</v>
      </c>
      <c r="D47" s="152">
        <f t="shared" si="2"/>
        <v>3.1367427158565012E-2</v>
      </c>
      <c r="E47" s="152">
        <f t="shared" si="2"/>
        <v>5.6967234960874176E-3</v>
      </c>
      <c r="F47" s="2"/>
    </row>
    <row r="48" spans="2:6" x14ac:dyDescent="0.45">
      <c r="B48" s="1">
        <v>3.7</v>
      </c>
      <c r="C48" s="152">
        <f t="shared" si="2"/>
        <v>3.6033339230061204E-2</v>
      </c>
      <c r="D48" s="152">
        <f t="shared" si="2"/>
        <v>2.8620453967254895E-2</v>
      </c>
      <c r="E48" s="152">
        <f t="shared" si="2"/>
        <v>4.7054882196178507E-3</v>
      </c>
      <c r="F48" s="2"/>
    </row>
    <row r="49" spans="2:6" x14ac:dyDescent="0.45">
      <c r="B49" s="1">
        <v>3.8</v>
      </c>
      <c r="C49" s="152">
        <f t="shared" si="2"/>
        <v>3.364526808582409E-2</v>
      </c>
      <c r="D49" s="152">
        <f t="shared" si="2"/>
        <v>2.6145731247582592E-2</v>
      </c>
      <c r="E49" s="152">
        <f t="shared" si="2"/>
        <v>3.8926914443923647E-3</v>
      </c>
      <c r="F49" s="2"/>
    </row>
    <row r="50" spans="2:6" x14ac:dyDescent="0.45">
      <c r="B50" s="1">
        <v>3.9</v>
      </c>
      <c r="C50" s="152">
        <f t="shared" si="2"/>
        <v>3.1439815309317456E-2</v>
      </c>
      <c r="D50" s="152">
        <f t="shared" si="2"/>
        <v>2.3913446495070774E-2</v>
      </c>
      <c r="E50" s="152">
        <f t="shared" si="2"/>
        <v>3.2253025622361801E-3</v>
      </c>
      <c r="F50" s="2"/>
    </row>
    <row r="51" spans="2:6" x14ac:dyDescent="0.45">
      <c r="B51" s="1">
        <v>4</v>
      </c>
      <c r="C51" s="152">
        <f t="shared" si="2"/>
        <v>2.9401194111858125E-2</v>
      </c>
      <c r="D51" s="152">
        <f t="shared" si="2"/>
        <v>2.1897319677765308E-2</v>
      </c>
      <c r="E51" s="152">
        <f t="shared" si="2"/>
        <v>2.6765355324827001E-3</v>
      </c>
      <c r="F51" s="2"/>
    </row>
    <row r="52" spans="2:6" x14ac:dyDescent="0.45">
      <c r="B52" s="1">
        <v>4.0999999999999996</v>
      </c>
      <c r="C52" s="152">
        <f t="shared" si="2"/>
        <v>2.7515136528068071E-2</v>
      </c>
      <c r="D52" s="152">
        <f t="shared" si="2"/>
        <v>2.0074159569844374E-2</v>
      </c>
      <c r="E52" s="152">
        <f t="shared" si="2"/>
        <v>2.2246531081460213E-3</v>
      </c>
      <c r="F52" s="2"/>
    </row>
    <row r="53" spans="2:6" x14ac:dyDescent="0.45">
      <c r="B53" s="1">
        <v>4.2</v>
      </c>
      <c r="C53" s="152">
        <f t="shared" si="2"/>
        <v>2.5768732780906928E-2</v>
      </c>
      <c r="D53" s="152">
        <f t="shared" si="2"/>
        <v>1.842347773771422E-2</v>
      </c>
      <c r="E53" s="152">
        <f t="shared" si="2"/>
        <v>1.8520004215333145E-3</v>
      </c>
      <c r="F53" s="2"/>
    </row>
    <row r="54" spans="2:6" x14ac:dyDescent="0.45">
      <c r="B54" s="1">
        <v>4.3</v>
      </c>
      <c r="C54" s="152">
        <f t="shared" si="2"/>
        <v>2.4150289138400321E-2</v>
      </c>
      <c r="D54" s="152">
        <f t="shared" si="2"/>
        <v>1.6927152700525083E-2</v>
      </c>
      <c r="E54" s="152">
        <f t="shared" si="2"/>
        <v>1.5442246053788105E-3</v>
      </c>
      <c r="F54" s="2"/>
    </row>
    <row r="55" spans="2:6" x14ac:dyDescent="0.45">
      <c r="B55" s="1">
        <v>4.4000000000000004</v>
      </c>
      <c r="C55" s="152">
        <f t="shared" si="2"/>
        <v>2.2649201964003177E-2</v>
      </c>
      <c r="D55" s="152">
        <f t="shared" si="2"/>
        <v>1.5569137687494111E-2</v>
      </c>
      <c r="E55" s="152">
        <f t="shared" si="2"/>
        <v>1.2896449431378265E-3</v>
      </c>
      <c r="F55" s="2"/>
    </row>
    <row r="56" spans="2:6" x14ac:dyDescent="0.45">
      <c r="B56" s="1">
        <v>4.5</v>
      </c>
      <c r="C56" s="152">
        <f t="shared" si="2"/>
        <v>2.1255845968746995E-2</v>
      </c>
      <c r="D56" s="152">
        <f t="shared" si="2"/>
        <v>1.4335206236073365E-2</v>
      </c>
      <c r="E56" s="152">
        <f t="shared" si="2"/>
        <v>1.0787446019063802E-3</v>
      </c>
      <c r="F56" s="2"/>
    </row>
    <row r="57" spans="2:6" x14ac:dyDescent="0.45">
      <c r="B57" s="1">
        <v>4.5999999999999996</v>
      </c>
      <c r="C57" s="152">
        <f t="shared" si="2"/>
        <v>1.996147493603135E-2</v>
      </c>
      <c r="D57" s="152">
        <f t="shared" si="2"/>
        <v>1.3212730613292803E-2</v>
      </c>
      <c r="E57" s="152">
        <f t="shared" si="2"/>
        <v>9.0376044448247598E-4</v>
      </c>
      <c r="F57" s="2"/>
    </row>
    <row r="58" spans="2:6" x14ac:dyDescent="0.45">
      <c r="B58" s="1">
        <v>4.7</v>
      </c>
      <c r="C58" s="152">
        <f t="shared" si="2"/>
        <v>1.8758133415698448E-2</v>
      </c>
      <c r="D58" s="152">
        <f t="shared" si="2"/>
        <v>1.2190488698651261E-2</v>
      </c>
      <c r="E58" s="152">
        <f t="shared" si="2"/>
        <v>7.5835189532579472E-4</v>
      </c>
      <c r="F58" s="2"/>
    </row>
    <row r="59" spans="2:6" x14ac:dyDescent="0.45">
      <c r="B59" s="1">
        <v>4.8</v>
      </c>
      <c r="C59" s="152">
        <f t="shared" si="2"/>
        <v>1.7638578078371325E-2</v>
      </c>
      <c r="D59" s="152">
        <f t="shared" si="2"/>
        <v>1.1258495545096472E-2</v>
      </c>
      <c r="E59" s="152">
        <f t="shared" si="2"/>
        <v>6.3733349578962704E-4</v>
      </c>
      <c r="F59" s="2"/>
    </row>
    <row r="60" spans="2:6" x14ac:dyDescent="0.45">
      <c r="B60" s="1">
        <v>4.9000000000000004</v>
      </c>
      <c r="C60" s="152">
        <f t="shared" si="2"/>
        <v>1.6596207588594553E-2</v>
      </c>
      <c r="D60" s="152">
        <f t="shared" si="2"/>
        <v>1.0407856341035819E-2</v>
      </c>
      <c r="E60" s="152">
        <f t="shared" si="2"/>
        <v>5.3645876138519542E-4</v>
      </c>
      <c r="F60" s="2"/>
    </row>
    <row r="61" spans="2:6" x14ac:dyDescent="0.45">
      <c r="B61" s="3">
        <v>5</v>
      </c>
      <c r="C61" s="153">
        <f t="shared" si="2"/>
        <v>1.5624999999999998E-2</v>
      </c>
      <c r="D61" s="153">
        <f t="shared" si="2"/>
        <v>9.6306379378100857E-3</v>
      </c>
      <c r="E61" s="153">
        <f t="shared" si="2"/>
        <v>4.5224536625353411E-4</v>
      </c>
      <c r="F61" s="2"/>
    </row>
  </sheetData>
  <mergeCells count="3">
    <mergeCell ref="B2:E5"/>
    <mergeCell ref="B7:C7"/>
    <mergeCell ref="D7:F7"/>
  </mergeCells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6"/>
  <sheetViews>
    <sheetView workbookViewId="0"/>
  </sheetViews>
  <sheetFormatPr defaultRowHeight="19.5" x14ac:dyDescent="0.45"/>
  <cols>
    <col min="2" max="2" width="8.69921875" bestFit="1" customWidth="1"/>
    <col min="3" max="3" width="9.19921875" bestFit="1" customWidth="1"/>
    <col min="4" max="4" width="8.69921875" bestFit="1" customWidth="1"/>
    <col min="5" max="5" width="9.09765625" bestFit="1" customWidth="1"/>
  </cols>
  <sheetData>
    <row r="2" spans="2:5" x14ac:dyDescent="0.45">
      <c r="B2" s="232" t="s">
        <v>55</v>
      </c>
      <c r="C2" s="233"/>
      <c r="D2" s="233"/>
      <c r="E2" s="233"/>
    </row>
    <row r="3" spans="2:5" x14ac:dyDescent="0.45">
      <c r="B3" s="233"/>
      <c r="C3" s="233"/>
      <c r="D3" s="233"/>
      <c r="E3" s="233"/>
    </row>
    <row r="6" spans="2:5" x14ac:dyDescent="0.45">
      <c r="B6" s="42"/>
      <c r="C6" s="273" t="s">
        <v>49</v>
      </c>
      <c r="D6" s="273"/>
      <c r="E6" s="42"/>
    </row>
    <row r="7" spans="2:5" s="1" customFormat="1" x14ac:dyDescent="0.45">
      <c r="B7" s="43" t="s">
        <v>50</v>
      </c>
      <c r="C7" s="43" t="s">
        <v>53</v>
      </c>
      <c r="D7" s="43" t="s">
        <v>54</v>
      </c>
      <c r="E7" s="43" t="s">
        <v>51</v>
      </c>
    </row>
    <row r="8" spans="2:5" x14ac:dyDescent="0.45">
      <c r="B8" s="44">
        <v>0</v>
      </c>
      <c r="C8" s="8">
        <f>COMBIN(10,3)*B8^3*(1-B8)^7</f>
        <v>0</v>
      </c>
      <c r="D8" s="8">
        <f>COMBIN(10,5)*B8^5*(1-B8)^5</f>
        <v>0</v>
      </c>
      <c r="E8" s="8"/>
    </row>
    <row r="9" spans="2:5" x14ac:dyDescent="0.45">
      <c r="B9" s="44">
        <v>0.05</v>
      </c>
      <c r="C9" s="8">
        <f t="shared" ref="C9:C28" si="0">COMBIN(10,3)*B9^3*(1-B9)^7</f>
        <v>1.0475059441406252E-2</v>
      </c>
      <c r="D9" s="8">
        <f t="shared" ref="D9:D28" si="1">COMBIN(10,5)*B9^5*(1-B9)^5</f>
        <v>6.0935248828125034E-5</v>
      </c>
      <c r="E9" s="8">
        <f>LN(C9)</f>
        <v>-4.5587581385927809</v>
      </c>
    </row>
    <row r="10" spans="2:5" x14ac:dyDescent="0.45">
      <c r="B10" s="44">
        <v>0.1</v>
      </c>
      <c r="C10" s="8">
        <f t="shared" si="0"/>
        <v>5.7395628000000025E-2</v>
      </c>
      <c r="D10" s="8">
        <f t="shared" si="1"/>
        <v>1.4880348000000012E-3</v>
      </c>
      <c r="E10" s="8">
        <f t="shared" ref="E10:E27" si="2">LN(C10)</f>
        <v>-2.8577871458048749</v>
      </c>
    </row>
    <row r="11" spans="2:5" x14ac:dyDescent="0.45">
      <c r="B11" s="44">
        <v>0.15</v>
      </c>
      <c r="C11" s="8">
        <f t="shared" si="0"/>
        <v>0.12983372075390617</v>
      </c>
      <c r="D11" s="8">
        <f t="shared" si="1"/>
        <v>8.4908557863281227E-3</v>
      </c>
      <c r="E11" s="8">
        <f t="shared" si="2"/>
        <v>-2.0415007183600231</v>
      </c>
    </row>
    <row r="12" spans="2:5" x14ac:dyDescent="0.45">
      <c r="B12" s="44">
        <v>0.2</v>
      </c>
      <c r="C12" s="8">
        <f t="shared" si="0"/>
        <v>0.20132659200000019</v>
      </c>
      <c r="D12" s="8">
        <f t="shared" si="1"/>
        <v>2.6424115200000032E-2</v>
      </c>
      <c r="E12" s="8">
        <f t="shared" si="2"/>
        <v>-1.6028268537197226</v>
      </c>
    </row>
    <row r="13" spans="2:5" x14ac:dyDescent="0.45">
      <c r="B13" s="44">
        <v>0.25</v>
      </c>
      <c r="C13" s="8">
        <f t="shared" si="0"/>
        <v>0.25028228759765625</v>
      </c>
      <c r="D13" s="8">
        <f t="shared" si="1"/>
        <v>5.8399200439453125E-2</v>
      </c>
      <c r="E13" s="8">
        <f t="shared" si="2"/>
        <v>-1.3851658477400923</v>
      </c>
    </row>
    <row r="14" spans="2:5" x14ac:dyDescent="0.45">
      <c r="B14" s="44">
        <v>0.3</v>
      </c>
      <c r="C14" s="8">
        <f t="shared" si="0"/>
        <v>0.26682793199999982</v>
      </c>
      <c r="D14" s="8">
        <f t="shared" si="1"/>
        <v>0.10291934519999997</v>
      </c>
      <c r="E14" s="8">
        <f t="shared" si="2"/>
        <v>-1.3211512777668892</v>
      </c>
    </row>
    <row r="15" spans="2:5" x14ac:dyDescent="0.45">
      <c r="B15" s="44">
        <v>0.35</v>
      </c>
      <c r="C15" s="8">
        <f t="shared" si="0"/>
        <v>0.25221962497265632</v>
      </c>
      <c r="D15" s="8">
        <f t="shared" si="1"/>
        <v>0.1535704107082031</v>
      </c>
      <c r="E15" s="8">
        <f t="shared" si="2"/>
        <v>-1.3774550433611665</v>
      </c>
    </row>
    <row r="16" spans="2:5" x14ac:dyDescent="0.45">
      <c r="B16" s="44">
        <v>0.4</v>
      </c>
      <c r="C16" s="8">
        <f t="shared" si="0"/>
        <v>0.21499084800000001</v>
      </c>
      <c r="D16" s="8">
        <f t="shared" si="1"/>
        <v>0.20065812480000009</v>
      </c>
      <c r="E16" s="8">
        <f t="shared" si="2"/>
        <v>-1.5371598192023539</v>
      </c>
    </row>
    <row r="17" spans="2:7" x14ac:dyDescent="0.45">
      <c r="B17" s="44">
        <v>0.45</v>
      </c>
      <c r="C17" s="8">
        <f t="shared" si="0"/>
        <v>0.16647829287890639</v>
      </c>
      <c r="D17" s="8">
        <f t="shared" si="1"/>
        <v>0.23403270759257827</v>
      </c>
      <c r="E17" s="8">
        <f t="shared" si="2"/>
        <v>-1.7928903511606111</v>
      </c>
    </row>
    <row r="18" spans="2:7" x14ac:dyDescent="0.45">
      <c r="B18" s="44">
        <v>0.5</v>
      </c>
      <c r="C18" s="8">
        <f t="shared" si="0"/>
        <v>0.1171875</v>
      </c>
      <c r="D18" s="8">
        <f t="shared" si="1"/>
        <v>0.24609375</v>
      </c>
      <c r="E18" s="8">
        <f t="shared" si="2"/>
        <v>-2.1439800628174073</v>
      </c>
    </row>
    <row r="19" spans="2:7" x14ac:dyDescent="0.45">
      <c r="B19" s="44">
        <v>0.55000000000000004</v>
      </c>
      <c r="C19" s="8">
        <f t="shared" si="0"/>
        <v>7.4603106316406223E-2</v>
      </c>
      <c r="D19" s="8">
        <f t="shared" si="1"/>
        <v>0.23403270759257805</v>
      </c>
      <c r="E19" s="8">
        <f t="shared" si="2"/>
        <v>-2.5955731330092169</v>
      </c>
    </row>
    <row r="20" spans="2:7" x14ac:dyDescent="0.45">
      <c r="B20" s="44">
        <v>0.6</v>
      </c>
      <c r="C20" s="8">
        <f t="shared" si="0"/>
        <v>4.2467328000000026E-2</v>
      </c>
      <c r="D20" s="8">
        <f t="shared" si="1"/>
        <v>0.20065812480000011</v>
      </c>
      <c r="E20" s="8">
        <f t="shared" si="2"/>
        <v>-3.159020251635011</v>
      </c>
    </row>
    <row r="21" spans="2:7" x14ac:dyDescent="0.45">
      <c r="B21" s="44">
        <v>0.65</v>
      </c>
      <c r="C21" s="8">
        <f t="shared" si="0"/>
        <v>2.1203015285156241E-2</v>
      </c>
      <c r="D21" s="8">
        <f t="shared" si="1"/>
        <v>0.1535704107082031</v>
      </c>
      <c r="E21" s="8">
        <f t="shared" si="2"/>
        <v>-3.853611876986061</v>
      </c>
    </row>
    <row r="22" spans="2:7" x14ac:dyDescent="0.45">
      <c r="B22" s="44">
        <v>0.7</v>
      </c>
      <c r="C22" s="8">
        <f t="shared" si="0"/>
        <v>9.0016920000000073E-3</v>
      </c>
      <c r="D22" s="8">
        <f t="shared" si="1"/>
        <v>0.10291934520000003</v>
      </c>
      <c r="E22" s="8">
        <f t="shared" si="2"/>
        <v>-4.7103427193157019</v>
      </c>
      <c r="G22" s="14" t="s">
        <v>52</v>
      </c>
    </row>
    <row r="23" spans="2:7" x14ac:dyDescent="0.45">
      <c r="B23" s="44">
        <v>0.75</v>
      </c>
      <c r="C23" s="8">
        <f t="shared" si="0"/>
        <v>3.08990478515625E-3</v>
      </c>
      <c r="D23" s="8">
        <f t="shared" si="1"/>
        <v>5.8399200439453125E-2</v>
      </c>
      <c r="E23" s="8">
        <f t="shared" si="2"/>
        <v>-5.7796150024125312</v>
      </c>
    </row>
    <row r="24" spans="2:7" x14ac:dyDescent="0.45">
      <c r="B24" s="44">
        <v>0.8</v>
      </c>
      <c r="C24" s="8">
        <f t="shared" si="0"/>
        <v>7.8643199999999891E-4</v>
      </c>
      <c r="D24" s="8">
        <f t="shared" si="1"/>
        <v>2.642411519999998E-2</v>
      </c>
      <c r="E24" s="8">
        <f t="shared" si="2"/>
        <v>-7.1480042981992868</v>
      </c>
    </row>
    <row r="25" spans="2:7" x14ac:dyDescent="0.45">
      <c r="B25" s="44">
        <v>0.85</v>
      </c>
      <c r="C25" s="8">
        <f t="shared" si="0"/>
        <v>1.2591481640625011E-4</v>
      </c>
      <c r="D25" s="8">
        <f t="shared" si="1"/>
        <v>8.4908557863281279E-3</v>
      </c>
      <c r="E25" s="8">
        <f t="shared" si="2"/>
        <v>-8.9799049399124478</v>
      </c>
    </row>
    <row r="26" spans="2:7" x14ac:dyDescent="0.45">
      <c r="B26" s="44">
        <v>0.9</v>
      </c>
      <c r="C26" s="8">
        <f t="shared" si="0"/>
        <v>8.7479999999999881E-6</v>
      </c>
      <c r="D26" s="8">
        <f t="shared" si="1"/>
        <v>1.4880347999999984E-3</v>
      </c>
      <c r="E26" s="8">
        <f t="shared" si="2"/>
        <v>-11.646685455149754</v>
      </c>
    </row>
    <row r="27" spans="2:7" x14ac:dyDescent="0.45">
      <c r="B27" s="44">
        <v>0.95</v>
      </c>
      <c r="C27" s="8">
        <f t="shared" si="0"/>
        <v>8.0378906250000488E-8</v>
      </c>
      <c r="D27" s="8">
        <f t="shared" si="1"/>
        <v>6.0935248828125271E-5</v>
      </c>
      <c r="E27" s="8">
        <f t="shared" si="2"/>
        <v>-16.336514055258537</v>
      </c>
    </row>
    <row r="28" spans="2:7" x14ac:dyDescent="0.45">
      <c r="B28" s="44">
        <v>1</v>
      </c>
      <c r="C28" s="8">
        <f t="shared" si="0"/>
        <v>0</v>
      </c>
      <c r="D28" s="8">
        <f t="shared" si="1"/>
        <v>0</v>
      </c>
      <c r="E28" s="8"/>
    </row>
    <row r="36" spans="2:3" x14ac:dyDescent="0.45">
      <c r="B36" s="29"/>
      <c r="C36" s="29"/>
    </row>
    <row r="37" spans="2:3" x14ac:dyDescent="0.45">
      <c r="B37" s="39"/>
      <c r="C37" s="40"/>
    </row>
    <row r="38" spans="2:3" x14ac:dyDescent="0.45">
      <c r="B38" s="39"/>
      <c r="C38" s="40"/>
    </row>
    <row r="39" spans="2:3" x14ac:dyDescent="0.45">
      <c r="B39" s="39"/>
      <c r="C39" s="40"/>
    </row>
    <row r="40" spans="2:3" x14ac:dyDescent="0.45">
      <c r="B40" s="39"/>
      <c r="C40" s="40"/>
    </row>
    <row r="41" spans="2:3" x14ac:dyDescent="0.45">
      <c r="B41" s="39"/>
      <c r="C41" s="40"/>
    </row>
    <row r="42" spans="2:3" x14ac:dyDescent="0.45">
      <c r="B42" s="39"/>
      <c r="C42" s="40"/>
    </row>
    <row r="43" spans="2:3" x14ac:dyDescent="0.45">
      <c r="B43" s="39"/>
      <c r="C43" s="40"/>
    </row>
    <row r="44" spans="2:3" x14ac:dyDescent="0.45">
      <c r="B44" s="39"/>
      <c r="C44" s="40"/>
    </row>
    <row r="45" spans="2:3" x14ac:dyDescent="0.45">
      <c r="B45" s="39"/>
      <c r="C45" s="40"/>
    </row>
    <row r="46" spans="2:3" x14ac:dyDescent="0.45">
      <c r="B46" s="39"/>
      <c r="C46" s="40"/>
    </row>
    <row r="47" spans="2:3" x14ac:dyDescent="0.45">
      <c r="B47" s="39"/>
      <c r="C47" s="40"/>
    </row>
    <row r="48" spans="2:3" x14ac:dyDescent="0.45">
      <c r="B48" s="39"/>
      <c r="C48" s="40"/>
    </row>
    <row r="49" spans="2:3" x14ac:dyDescent="0.45">
      <c r="B49" s="39"/>
      <c r="C49" s="40"/>
    </row>
    <row r="50" spans="2:3" x14ac:dyDescent="0.45">
      <c r="B50" s="39"/>
      <c r="C50" s="40"/>
    </row>
    <row r="51" spans="2:3" x14ac:dyDescent="0.45">
      <c r="B51" s="39"/>
      <c r="C51" s="40"/>
    </row>
    <row r="52" spans="2:3" x14ac:dyDescent="0.45">
      <c r="B52" s="39"/>
      <c r="C52" s="40"/>
    </row>
    <row r="53" spans="2:3" x14ac:dyDescent="0.45">
      <c r="B53" s="39"/>
      <c r="C53" s="40"/>
    </row>
    <row r="54" spans="2:3" x14ac:dyDescent="0.45">
      <c r="B54" s="39"/>
      <c r="C54" s="40"/>
    </row>
    <row r="55" spans="2:3" x14ac:dyDescent="0.45">
      <c r="B55" s="39"/>
      <c r="C55" s="40"/>
    </row>
    <row r="56" spans="2:3" x14ac:dyDescent="0.45">
      <c r="B56" s="41"/>
      <c r="C56" s="41"/>
    </row>
  </sheetData>
  <mergeCells count="2">
    <mergeCell ref="C6:D6"/>
    <mergeCell ref="B2:E3"/>
  </mergeCells>
  <phoneticPr fontId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workbookViewId="0">
      <selection activeCell="H11" sqref="H11"/>
    </sheetView>
  </sheetViews>
  <sheetFormatPr defaultRowHeight="19.5" x14ac:dyDescent="0.45"/>
  <cols>
    <col min="3" max="4" width="11.296875" customWidth="1"/>
    <col min="5" max="5" width="16.8984375" customWidth="1"/>
  </cols>
  <sheetData>
    <row r="2" spans="2:5" x14ac:dyDescent="0.45">
      <c r="B2" s="274" t="s">
        <v>176</v>
      </c>
      <c r="C2" s="275"/>
      <c r="D2" s="275"/>
      <c r="E2" s="276"/>
    </row>
    <row r="3" spans="2:5" x14ac:dyDescent="0.45">
      <c r="B3" s="277"/>
      <c r="C3" s="278"/>
      <c r="D3" s="278"/>
      <c r="E3" s="279"/>
    </row>
    <row r="4" spans="2:5" x14ac:dyDescent="0.45">
      <c r="B4" s="280"/>
      <c r="C4" s="281"/>
      <c r="D4" s="281"/>
      <c r="E4" s="282"/>
    </row>
    <row r="6" spans="2:5" s="106" customFormat="1" x14ac:dyDescent="0.45">
      <c r="C6" s="105" t="s">
        <v>158</v>
      </c>
      <c r="D6" s="105" t="s">
        <v>159</v>
      </c>
      <c r="E6" s="105" t="s">
        <v>160</v>
      </c>
    </row>
    <row r="7" spans="2:5" x14ac:dyDescent="0.45">
      <c r="C7" s="107">
        <v>3</v>
      </c>
      <c r="D7" s="107">
        <v>30</v>
      </c>
      <c r="E7" s="109">
        <f>COMBIN(C7+D7-1,D7)</f>
        <v>496</v>
      </c>
    </row>
    <row r="8" spans="2:5" x14ac:dyDescent="0.45">
      <c r="C8" s="168">
        <v>5</v>
      </c>
      <c r="D8" s="168">
        <v>30</v>
      </c>
      <c r="E8" s="109">
        <f>COMBIN(C8+D8-1,D8)</f>
        <v>46375.999999999993</v>
      </c>
    </row>
    <row r="12" spans="2:5" x14ac:dyDescent="0.45">
      <c r="B12" s="274" t="s">
        <v>175</v>
      </c>
      <c r="C12" s="275"/>
      <c r="D12" s="275"/>
      <c r="E12" s="276"/>
    </row>
    <row r="13" spans="2:5" x14ac:dyDescent="0.45">
      <c r="B13" s="277"/>
      <c r="C13" s="278"/>
      <c r="D13" s="278"/>
      <c r="E13" s="279"/>
    </row>
    <row r="14" spans="2:5" x14ac:dyDescent="0.45">
      <c r="B14" s="280"/>
      <c r="C14" s="281"/>
      <c r="D14" s="281"/>
      <c r="E14" s="282"/>
    </row>
    <row r="16" spans="2:5" x14ac:dyDescent="0.45">
      <c r="C16" s="117" t="s">
        <v>177</v>
      </c>
      <c r="D16" s="109">
        <f>COMBIN(33,30)</f>
        <v>5455.9999999999991</v>
      </c>
      <c r="E16" s="118" t="s">
        <v>180</v>
      </c>
    </row>
    <row r="17" spans="3:5" x14ac:dyDescent="0.45">
      <c r="C17" s="117" t="s">
        <v>178</v>
      </c>
      <c r="D17" s="109">
        <f>(55+1)*(52+1)</f>
        <v>2968</v>
      </c>
      <c r="E17" s="118" t="s">
        <v>181</v>
      </c>
    </row>
    <row r="18" spans="3:5" x14ac:dyDescent="0.45">
      <c r="C18" s="117" t="s">
        <v>179</v>
      </c>
      <c r="D18" s="109">
        <f>4+1</f>
        <v>5</v>
      </c>
      <c r="E18" s="118" t="s">
        <v>182</v>
      </c>
    </row>
    <row r="20" spans="3:5" x14ac:dyDescent="0.45">
      <c r="C20" s="119" t="s">
        <v>281</v>
      </c>
      <c r="D20" s="109">
        <f>COMBIN(10,5)</f>
        <v>252</v>
      </c>
      <c r="E20" s="118" t="s">
        <v>183</v>
      </c>
    </row>
  </sheetData>
  <mergeCells count="2">
    <mergeCell ref="B2:E4"/>
    <mergeCell ref="B12:E14"/>
  </mergeCells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6"/>
  <sheetViews>
    <sheetView workbookViewId="0"/>
  </sheetViews>
  <sheetFormatPr defaultRowHeight="19.5" x14ac:dyDescent="0.45"/>
  <cols>
    <col min="12" max="12" width="14.8984375" customWidth="1"/>
  </cols>
  <sheetData>
    <row r="3" spans="2:6" x14ac:dyDescent="0.45">
      <c r="B3" s="232" t="s">
        <v>206</v>
      </c>
      <c r="C3" s="233"/>
      <c r="D3" s="233"/>
      <c r="E3" s="233"/>
    </row>
    <row r="4" spans="2:6" x14ac:dyDescent="0.45">
      <c r="B4" s="233"/>
      <c r="C4" s="233"/>
      <c r="D4" s="233"/>
      <c r="E4" s="233"/>
    </row>
    <row r="6" spans="2:6" x14ac:dyDescent="0.45">
      <c r="B6" s="19"/>
      <c r="C6" s="19"/>
      <c r="D6" s="253" t="s">
        <v>73</v>
      </c>
      <c r="E6" s="253"/>
      <c r="F6" s="19"/>
    </row>
    <row r="7" spans="2:6" x14ac:dyDescent="0.45">
      <c r="B7" s="29"/>
      <c r="C7" s="3"/>
      <c r="D7" s="3" t="s">
        <v>74</v>
      </c>
      <c r="E7" s="3" t="s">
        <v>75</v>
      </c>
      <c r="F7" s="3" t="s">
        <v>69</v>
      </c>
    </row>
    <row r="8" spans="2:6" x14ac:dyDescent="0.45">
      <c r="B8" s="283" t="s">
        <v>76</v>
      </c>
      <c r="C8" s="66" t="s">
        <v>74</v>
      </c>
      <c r="D8" s="66">
        <v>5</v>
      </c>
      <c r="E8" s="66">
        <v>1</v>
      </c>
      <c r="F8" s="67">
        <v>6</v>
      </c>
    </row>
    <row r="9" spans="2:6" x14ac:dyDescent="0.45">
      <c r="B9" s="283"/>
      <c r="C9" s="3" t="s">
        <v>75</v>
      </c>
      <c r="D9" s="3">
        <v>1</v>
      </c>
      <c r="E9" s="3">
        <v>5</v>
      </c>
      <c r="F9" s="63">
        <v>6</v>
      </c>
    </row>
    <row r="10" spans="2:6" x14ac:dyDescent="0.45">
      <c r="B10" s="29"/>
      <c r="C10" s="19" t="s">
        <v>69</v>
      </c>
      <c r="D10" s="62">
        <v>6</v>
      </c>
      <c r="E10" s="62">
        <v>6</v>
      </c>
      <c r="F10" s="19"/>
    </row>
    <row r="12" spans="2:6" x14ac:dyDescent="0.45">
      <c r="B12" s="232" t="s">
        <v>205</v>
      </c>
      <c r="C12" s="233"/>
      <c r="D12" s="233"/>
      <c r="E12" s="233"/>
    </row>
    <row r="13" spans="2:6" x14ac:dyDescent="0.45">
      <c r="B13" s="233"/>
      <c r="C13" s="233"/>
      <c r="D13" s="233"/>
      <c r="E13" s="233"/>
    </row>
    <row r="15" spans="2:6" x14ac:dyDescent="0.45">
      <c r="C15" s="122" t="s">
        <v>192</v>
      </c>
      <c r="D15" s="122" t="s">
        <v>193</v>
      </c>
      <c r="E15" s="194" t="s">
        <v>235</v>
      </c>
    </row>
    <row r="16" spans="2:6" x14ac:dyDescent="0.45">
      <c r="C16" s="137">
        <v>0</v>
      </c>
      <c r="D16" s="169">
        <f>COMBIN(6,C16)*COMBIN(6,6-C16)/COMBIN(12,6)</f>
        <v>1.0822510822510825E-3</v>
      </c>
    </row>
    <row r="17" spans="2:5" x14ac:dyDescent="0.45">
      <c r="C17" s="137">
        <v>1</v>
      </c>
      <c r="D17" s="169">
        <f t="shared" ref="D17:D22" si="0">COMBIN(6,C17)*COMBIN(6,6-C17)/COMBIN(12,6)</f>
        <v>3.8961038961038974E-2</v>
      </c>
    </row>
    <row r="18" spans="2:5" x14ac:dyDescent="0.45">
      <c r="C18" s="137">
        <v>2</v>
      </c>
      <c r="D18" s="169">
        <f t="shared" si="0"/>
        <v>0.24350649350649356</v>
      </c>
    </row>
    <row r="19" spans="2:5" x14ac:dyDescent="0.45">
      <c r="C19" s="137">
        <v>3</v>
      </c>
      <c r="D19" s="169">
        <f t="shared" si="0"/>
        <v>0.43290043290043301</v>
      </c>
    </row>
    <row r="20" spans="2:5" x14ac:dyDescent="0.45">
      <c r="C20" s="137">
        <v>4</v>
      </c>
      <c r="D20" s="169">
        <f t="shared" si="0"/>
        <v>0.24350649350649356</v>
      </c>
      <c r="E20" s="140">
        <f>SUM(D20:$D$22)</f>
        <v>0.28354978354978361</v>
      </c>
    </row>
    <row r="21" spans="2:5" x14ac:dyDescent="0.45">
      <c r="C21" s="137">
        <v>5</v>
      </c>
      <c r="D21" s="169">
        <f t="shared" si="0"/>
        <v>3.8961038961038974E-2</v>
      </c>
      <c r="E21" s="208">
        <f>SUM(D21:$D$22)</f>
        <v>4.0043290043290054E-2</v>
      </c>
    </row>
    <row r="22" spans="2:5" x14ac:dyDescent="0.45">
      <c r="C22" s="138">
        <v>6</v>
      </c>
      <c r="D22" s="170">
        <f t="shared" si="0"/>
        <v>1.0822510822510825E-3</v>
      </c>
      <c r="E22" s="140">
        <f>SUM(D22:$D$22)</f>
        <v>1.0822510822510825E-3</v>
      </c>
    </row>
    <row r="23" spans="2:5" x14ac:dyDescent="0.45">
      <c r="C23" s="228" t="s">
        <v>266</v>
      </c>
      <c r="D23" s="139">
        <f>SUM(D16:D22)</f>
        <v>1.0000000000000002</v>
      </c>
    </row>
    <row r="25" spans="2:5" x14ac:dyDescent="0.45">
      <c r="B25" s="232" t="s">
        <v>204</v>
      </c>
      <c r="C25" s="233"/>
      <c r="D25" s="233"/>
      <c r="E25" s="233"/>
    </row>
    <row r="26" spans="2:5" x14ac:dyDescent="0.45">
      <c r="B26" s="233"/>
      <c r="C26" s="233"/>
      <c r="D26" s="233"/>
      <c r="E26" s="233"/>
    </row>
  </sheetData>
  <mergeCells count="5">
    <mergeCell ref="D6:E6"/>
    <mergeCell ref="B8:B9"/>
    <mergeCell ref="B25:E26"/>
    <mergeCell ref="B12:E13"/>
    <mergeCell ref="B3:E4"/>
  </mergeCells>
  <phoneticPr fontId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2"/>
  <sheetViews>
    <sheetView workbookViewId="0">
      <selection activeCell="B1" sqref="B1"/>
    </sheetView>
  </sheetViews>
  <sheetFormatPr defaultRowHeight="19.5" x14ac:dyDescent="0.45"/>
  <cols>
    <col min="2" max="2" width="13.59765625" customWidth="1"/>
    <col min="3" max="3" width="12.69921875" customWidth="1"/>
    <col min="4" max="5" width="14.796875" customWidth="1"/>
    <col min="6" max="6" width="15.3984375" customWidth="1"/>
    <col min="7" max="7" width="18.59765625" customWidth="1"/>
    <col min="8" max="8" width="18" customWidth="1"/>
    <col min="9" max="9" width="16.796875" customWidth="1"/>
  </cols>
  <sheetData>
    <row r="1" spans="2:13" x14ac:dyDescent="0.45">
      <c r="F1" s="82"/>
    </row>
    <row r="2" spans="2:13" x14ac:dyDescent="0.45">
      <c r="B2" s="274" t="s">
        <v>213</v>
      </c>
      <c r="C2" s="275"/>
      <c r="D2" s="276"/>
      <c r="F2" s="82"/>
    </row>
    <row r="3" spans="2:13" x14ac:dyDescent="0.45">
      <c r="B3" s="280"/>
      <c r="C3" s="281"/>
      <c r="D3" s="282"/>
      <c r="F3" s="82"/>
    </row>
    <row r="4" spans="2:13" x14ac:dyDescent="0.45">
      <c r="F4" s="82"/>
    </row>
    <row r="5" spans="2:13" x14ac:dyDescent="0.45">
      <c r="F5" s="82"/>
    </row>
    <row r="6" spans="2:13" x14ac:dyDescent="0.45">
      <c r="B6" s="64" t="s">
        <v>100</v>
      </c>
      <c r="C6" s="3">
        <v>0</v>
      </c>
      <c r="D6" s="3">
        <v>1</v>
      </c>
      <c r="E6" s="3">
        <v>2</v>
      </c>
      <c r="F6" s="3">
        <v>3</v>
      </c>
      <c r="G6" s="3">
        <v>4</v>
      </c>
      <c r="H6" s="3">
        <v>5</v>
      </c>
      <c r="I6" s="3">
        <v>6</v>
      </c>
      <c r="J6" s="3" t="s">
        <v>194</v>
      </c>
      <c r="K6" s="19"/>
      <c r="L6" s="135" t="s">
        <v>101</v>
      </c>
    </row>
    <row r="7" spans="2:13" x14ac:dyDescent="0.45">
      <c r="B7" s="19" t="s">
        <v>102</v>
      </c>
      <c r="C7" s="169">
        <f t="shared" ref="C7:I7" si="0">COMBIN(6, C6)*COMBIN(6,6-C6)/COMBIN(12,6)</f>
        <v>1.0822510822510825E-3</v>
      </c>
      <c r="D7" s="169">
        <f t="shared" si="0"/>
        <v>3.8961038961038974E-2</v>
      </c>
      <c r="E7" s="169">
        <f t="shared" si="0"/>
        <v>0.24350649350649356</v>
      </c>
      <c r="F7" s="169">
        <f t="shared" si="0"/>
        <v>0.43290043290043301</v>
      </c>
      <c r="G7" s="169">
        <f t="shared" si="0"/>
        <v>0.24350649350649356</v>
      </c>
      <c r="H7" s="169">
        <f t="shared" si="0"/>
        <v>3.8961038961038974E-2</v>
      </c>
      <c r="I7" s="169">
        <f t="shared" si="0"/>
        <v>1.0822510822510825E-3</v>
      </c>
      <c r="J7" s="80"/>
      <c r="K7" s="19"/>
      <c r="L7" s="81">
        <f>SUM(C7:I7)</f>
        <v>1.0000000000000002</v>
      </c>
    </row>
    <row r="8" spans="2:13" x14ac:dyDescent="0.45">
      <c r="B8" s="19" t="s">
        <v>103</v>
      </c>
      <c r="C8" s="169">
        <f>SUM(C7:$I$7)</f>
        <v>1.0000000000000002</v>
      </c>
      <c r="D8" s="169">
        <f>SUM(D7:$I$7)</f>
        <v>0.9989177489177492</v>
      </c>
      <c r="E8" s="169">
        <f>SUM(E7:$I$7)</f>
        <v>0.95995670995671023</v>
      </c>
      <c r="F8" s="169">
        <f>SUM(F7:$I$7)</f>
        <v>0.71645021645021667</v>
      </c>
      <c r="G8" s="169">
        <f>SUM(G7:$I$7)</f>
        <v>0.28354978354978361</v>
      </c>
      <c r="H8" s="169">
        <f>SUM(H7:$I$7)</f>
        <v>4.0043290043290054E-2</v>
      </c>
      <c r="I8" s="169">
        <f>SUM(I7:$I$7)</f>
        <v>1.0822510822510825E-3</v>
      </c>
      <c r="J8" s="179">
        <f>SUM(C11:I11)</f>
        <v>0.65451593860684798</v>
      </c>
      <c r="K8" s="19"/>
      <c r="L8" s="19"/>
    </row>
    <row r="9" spans="2:13" x14ac:dyDescent="0.45">
      <c r="B9" s="3" t="s">
        <v>104</v>
      </c>
      <c r="C9" s="170">
        <f t="shared" ref="C9:I9" si="1">C8-C7/2</f>
        <v>0.99945887445887471</v>
      </c>
      <c r="D9" s="170">
        <f t="shared" si="1"/>
        <v>0.97943722943722977</v>
      </c>
      <c r="E9" s="170">
        <f t="shared" si="1"/>
        <v>0.83820346320346339</v>
      </c>
      <c r="F9" s="170">
        <f t="shared" si="1"/>
        <v>0.50000000000000022</v>
      </c>
      <c r="G9" s="170">
        <f t="shared" si="1"/>
        <v>0.16179653679653683</v>
      </c>
      <c r="H9" s="170">
        <f t="shared" si="1"/>
        <v>2.0562770562770567E-2</v>
      </c>
      <c r="I9" s="170">
        <f t="shared" si="1"/>
        <v>5.4112554112554123E-4</v>
      </c>
      <c r="J9" s="180">
        <f>SUM(C12:I12)</f>
        <v>0.50000000000000022</v>
      </c>
      <c r="K9" s="19"/>
      <c r="L9" s="19"/>
    </row>
    <row r="10" spans="2:13" x14ac:dyDescent="0.45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2:13" ht="19.5" customHeight="1" x14ac:dyDescent="0.45">
      <c r="B11" s="149" t="s">
        <v>105</v>
      </c>
      <c r="C11" s="181">
        <f>C7*C8</f>
        <v>1.0822510822510827E-3</v>
      </c>
      <c r="D11" s="181">
        <f t="shared" ref="D11:I11" si="2">D7*D8</f>
        <v>3.8918873334457774E-2</v>
      </c>
      <c r="E11" s="181">
        <f t="shared" si="2"/>
        <v>0.23375569235958857</v>
      </c>
      <c r="F11" s="181">
        <f t="shared" si="2"/>
        <v>0.31015160885290771</v>
      </c>
      <c r="G11" s="181">
        <f t="shared" si="2"/>
        <v>6.9046213526733041E-2</v>
      </c>
      <c r="H11" s="181">
        <f t="shared" si="2"/>
        <v>1.5601281835048077E-3</v>
      </c>
      <c r="I11" s="181">
        <f t="shared" si="2"/>
        <v>1.1712674050336392E-6</v>
      </c>
      <c r="J11" s="19"/>
      <c r="K11" s="19"/>
      <c r="L11" s="245" t="s">
        <v>101</v>
      </c>
      <c r="M11" s="247"/>
    </row>
    <row r="12" spans="2:13" x14ac:dyDescent="0.45">
      <c r="B12" s="146" t="s">
        <v>106</v>
      </c>
      <c r="C12" s="182">
        <f>C7*C9</f>
        <v>1.081665448548566E-3</v>
      </c>
      <c r="D12" s="182">
        <f t="shared" ref="D12:I12" si="3">D7*D9</f>
        <v>3.8159892055995979E-2</v>
      </c>
      <c r="E12" s="182">
        <f t="shared" si="3"/>
        <v>0.20410798616967457</v>
      </c>
      <c r="F12" s="182">
        <f t="shared" si="3"/>
        <v>0.21645021645021659</v>
      </c>
      <c r="G12" s="182">
        <f t="shared" si="3"/>
        <v>3.9398507336819044E-2</v>
      </c>
      <c r="H12" s="182">
        <f t="shared" si="3"/>
        <v>8.0114690504300937E-4</v>
      </c>
      <c r="I12" s="182">
        <f t="shared" si="3"/>
        <v>5.8563370251681961E-7</v>
      </c>
      <c r="J12" s="19"/>
      <c r="K12" s="19"/>
      <c r="L12" s="136" t="s">
        <v>192</v>
      </c>
      <c r="M12" s="136" t="s">
        <v>193</v>
      </c>
    </row>
    <row r="13" spans="2:13" x14ac:dyDescent="0.45">
      <c r="L13" s="137">
        <v>0</v>
      </c>
      <c r="M13" s="139">
        <f>COMBIN(6,L13)*COMBIN(6,6-L13)/COMBIN(12,6)</f>
        <v>1.0822510822510825E-3</v>
      </c>
    </row>
    <row r="14" spans="2:13" x14ac:dyDescent="0.45">
      <c r="B14" s="284"/>
      <c r="C14" s="284"/>
      <c r="D14" s="284"/>
      <c r="E14" s="284"/>
      <c r="F14" s="284"/>
      <c r="G14" s="284"/>
      <c r="H14" s="284"/>
      <c r="I14" s="284"/>
      <c r="L14" s="137">
        <v>1</v>
      </c>
      <c r="M14" s="139">
        <f t="shared" ref="M14:M19" si="4">COMBIN(6,L14)*COMBIN(6,6-L14)/COMBIN(12,6)</f>
        <v>3.8961038961038974E-2</v>
      </c>
    </row>
    <row r="15" spans="2:13" x14ac:dyDescent="0.45">
      <c r="B15" s="177"/>
      <c r="C15" s="177"/>
      <c r="D15" s="177"/>
      <c r="E15" s="177"/>
      <c r="F15" s="177"/>
      <c r="G15" s="177"/>
      <c r="H15" s="177"/>
      <c r="I15" s="177"/>
      <c r="L15" s="137">
        <v>2</v>
      </c>
      <c r="M15" s="139">
        <f t="shared" si="4"/>
        <v>0.24350649350649356</v>
      </c>
    </row>
    <row r="16" spans="2:13" s="19" customFormat="1" x14ac:dyDescent="0.45">
      <c r="B16" s="178"/>
      <c r="C16" s="178"/>
      <c r="D16" s="178"/>
      <c r="E16" s="178"/>
      <c r="F16" s="178"/>
      <c r="G16" s="178"/>
      <c r="H16" s="178"/>
      <c r="I16" s="178"/>
      <c r="L16" s="137">
        <v>3</v>
      </c>
      <c r="M16" s="139">
        <f t="shared" si="4"/>
        <v>0.43290043290043301</v>
      </c>
    </row>
    <row r="17" spans="2:13" x14ac:dyDescent="0.45">
      <c r="B17" s="177"/>
      <c r="C17" s="177"/>
      <c r="D17" s="177"/>
      <c r="E17" s="177"/>
      <c r="F17" s="177"/>
      <c r="G17" s="177"/>
      <c r="H17" s="177"/>
      <c r="I17" s="177"/>
      <c r="L17" s="137">
        <v>4</v>
      </c>
      <c r="M17" s="139">
        <f t="shared" si="4"/>
        <v>0.24350649350649356</v>
      </c>
    </row>
    <row r="18" spans="2:13" x14ac:dyDescent="0.45">
      <c r="B18" s="177"/>
      <c r="C18" s="177"/>
      <c r="D18" s="177"/>
      <c r="E18" s="177"/>
      <c r="F18" s="177"/>
      <c r="G18" s="177"/>
      <c r="H18" s="177"/>
      <c r="I18" s="177"/>
      <c r="L18" s="137">
        <v>5</v>
      </c>
      <c r="M18" s="139">
        <f t="shared" si="4"/>
        <v>3.8961038961038974E-2</v>
      </c>
    </row>
    <row r="19" spans="2:13" x14ac:dyDescent="0.45">
      <c r="B19" s="177"/>
      <c r="C19" s="177"/>
      <c r="D19" s="177"/>
      <c r="E19" s="177"/>
      <c r="F19" s="177"/>
      <c r="G19" s="177"/>
      <c r="H19" s="177"/>
      <c r="I19" s="177"/>
      <c r="L19" s="138">
        <v>6</v>
      </c>
      <c r="M19" s="140">
        <f t="shared" si="4"/>
        <v>1.0822510822510825E-3</v>
      </c>
    </row>
    <row r="20" spans="2:13" x14ac:dyDescent="0.45">
      <c r="B20" s="177"/>
      <c r="C20" s="177"/>
      <c r="D20" s="177"/>
      <c r="E20" s="177"/>
      <c r="F20" s="177"/>
      <c r="G20" s="177"/>
      <c r="H20" s="177"/>
      <c r="I20" s="177"/>
    </row>
    <row r="21" spans="2:13" x14ac:dyDescent="0.45">
      <c r="B21" s="177"/>
      <c r="C21" s="177"/>
      <c r="D21" s="177"/>
      <c r="E21" s="177"/>
      <c r="F21" s="177"/>
      <c r="G21" s="177"/>
      <c r="H21" s="177"/>
      <c r="I21" s="177"/>
    </row>
    <row r="22" spans="2:13" x14ac:dyDescent="0.45">
      <c r="B22" s="177"/>
      <c r="C22" s="177"/>
      <c r="D22" s="177"/>
      <c r="E22" s="177"/>
      <c r="F22" s="177"/>
      <c r="G22" s="177"/>
      <c r="H22" s="177"/>
      <c r="I22" s="177"/>
    </row>
    <row r="23" spans="2:13" x14ac:dyDescent="0.45">
      <c r="B23" s="177"/>
      <c r="C23" s="177"/>
      <c r="D23" s="177"/>
      <c r="E23" s="177"/>
      <c r="F23" s="177"/>
      <c r="G23" s="177"/>
      <c r="H23" s="177"/>
      <c r="I23" s="177"/>
    </row>
    <row r="24" spans="2:13" x14ac:dyDescent="0.45">
      <c r="B24" s="177"/>
      <c r="C24" s="177"/>
      <c r="D24" s="177"/>
      <c r="E24" s="177"/>
      <c r="F24" s="177"/>
      <c r="G24" s="177"/>
      <c r="H24" s="177"/>
      <c r="I24" s="177"/>
    </row>
    <row r="25" spans="2:13" x14ac:dyDescent="0.45">
      <c r="B25" s="177"/>
      <c r="C25" s="177"/>
      <c r="D25" s="177"/>
      <c r="E25" s="177"/>
      <c r="F25" s="177"/>
      <c r="G25" s="177"/>
      <c r="H25" s="177"/>
      <c r="I25" s="177"/>
    </row>
    <row r="26" spans="2:13" x14ac:dyDescent="0.45">
      <c r="B26" s="177"/>
      <c r="C26" s="177"/>
      <c r="D26" s="177"/>
      <c r="E26" s="177"/>
      <c r="F26" s="177"/>
      <c r="G26" s="177"/>
      <c r="H26" s="177"/>
      <c r="I26" s="177"/>
    </row>
    <row r="27" spans="2:13" x14ac:dyDescent="0.45">
      <c r="B27" s="177"/>
      <c r="C27" s="177"/>
      <c r="D27" s="177"/>
      <c r="E27" s="177"/>
      <c r="F27" s="177"/>
      <c r="G27" s="177"/>
      <c r="H27" s="177"/>
      <c r="I27" s="177"/>
    </row>
    <row r="28" spans="2:13" x14ac:dyDescent="0.45">
      <c r="B28" s="177"/>
      <c r="C28" s="177"/>
      <c r="D28" s="177"/>
      <c r="E28" s="177"/>
      <c r="F28" s="177"/>
      <c r="G28" s="177"/>
      <c r="H28" s="177"/>
      <c r="I28" s="177"/>
    </row>
    <row r="29" spans="2:13" x14ac:dyDescent="0.45">
      <c r="B29" s="177"/>
      <c r="C29" s="177"/>
      <c r="D29" s="177"/>
      <c r="E29" s="177"/>
      <c r="F29" s="177"/>
      <c r="G29" s="177"/>
      <c r="H29" s="177"/>
      <c r="I29" s="177"/>
    </row>
    <row r="30" spans="2:13" x14ac:dyDescent="0.45">
      <c r="B30" s="177"/>
      <c r="C30" s="177"/>
      <c r="D30" s="177"/>
      <c r="E30" s="177"/>
      <c r="F30" s="177"/>
      <c r="G30" s="177"/>
      <c r="H30" s="177"/>
      <c r="I30" s="177"/>
    </row>
    <row r="31" spans="2:13" x14ac:dyDescent="0.45">
      <c r="B31" s="177"/>
      <c r="C31" s="177"/>
      <c r="D31" s="177"/>
      <c r="E31" s="177"/>
      <c r="F31" s="177"/>
      <c r="G31" s="177"/>
      <c r="H31" s="177"/>
      <c r="I31" s="177"/>
    </row>
    <row r="32" spans="2:13" x14ac:dyDescent="0.45">
      <c r="B32" s="177"/>
      <c r="C32" s="177"/>
      <c r="D32" s="177"/>
      <c r="E32" s="177"/>
      <c r="F32" s="177"/>
      <c r="G32" s="177"/>
      <c r="H32" s="177"/>
      <c r="I32" s="177"/>
    </row>
  </sheetData>
  <mergeCells count="3">
    <mergeCell ref="L11:M11"/>
    <mergeCell ref="B14:I14"/>
    <mergeCell ref="B2:D3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2"/>
  <sheetViews>
    <sheetView workbookViewId="0">
      <selection activeCell="H9" sqref="H9"/>
    </sheetView>
  </sheetViews>
  <sheetFormatPr defaultColWidth="8.69921875" defaultRowHeight="19.5" x14ac:dyDescent="0.45"/>
  <cols>
    <col min="1" max="1" width="8.69921875" style="11"/>
    <col min="2" max="2" width="8.59765625" style="11" customWidth="1"/>
    <col min="3" max="9" width="7.5" style="11" customWidth="1"/>
    <col min="10" max="10" width="14.296875" style="11" customWidth="1"/>
    <col min="11" max="14" width="10.09765625" style="11" customWidth="1"/>
    <col min="15" max="15" width="8.69921875" style="11"/>
    <col min="16" max="16" width="11.09765625" style="11" customWidth="1"/>
    <col min="17" max="16384" width="8.69921875" style="11"/>
  </cols>
  <sheetData>
    <row r="2" spans="2:15" x14ac:dyDescent="0.45">
      <c r="B2" s="274" t="s">
        <v>282</v>
      </c>
      <c r="C2" s="275"/>
      <c r="D2" s="275"/>
      <c r="E2" s="276"/>
    </row>
    <row r="3" spans="2:15" x14ac:dyDescent="0.45">
      <c r="B3" s="277"/>
      <c r="C3" s="278"/>
      <c r="D3" s="278"/>
      <c r="E3" s="279"/>
    </row>
    <row r="4" spans="2:15" x14ac:dyDescent="0.45">
      <c r="B4" s="280"/>
      <c r="C4" s="281"/>
      <c r="D4" s="281"/>
      <c r="E4" s="282"/>
    </row>
    <row r="6" spans="2:15" x14ac:dyDescent="0.45">
      <c r="B6" s="229" t="s">
        <v>269</v>
      </c>
      <c r="J6" s="85" t="s">
        <v>115</v>
      </c>
      <c r="K6" s="33" t="s">
        <v>116</v>
      </c>
      <c r="L6" s="33" t="s">
        <v>117</v>
      </c>
      <c r="M6" s="33" t="s">
        <v>118</v>
      </c>
      <c r="N6" s="33" t="s">
        <v>119</v>
      </c>
    </row>
    <row r="7" spans="2:15" ht="19.5" customHeight="1" x14ac:dyDescent="0.45">
      <c r="B7" s="33"/>
      <c r="C7" s="33" t="s">
        <v>67</v>
      </c>
      <c r="D7" s="33" t="s">
        <v>68</v>
      </c>
      <c r="E7" s="31" t="s">
        <v>69</v>
      </c>
      <c r="F7" s="31" t="s">
        <v>131</v>
      </c>
      <c r="J7" s="86" t="s">
        <v>120</v>
      </c>
      <c r="K7" s="87">
        <v>4</v>
      </c>
      <c r="L7" s="87">
        <v>51</v>
      </c>
      <c r="M7" s="87">
        <v>14</v>
      </c>
      <c r="N7" s="87">
        <v>38</v>
      </c>
    </row>
    <row r="8" spans="2:15" x14ac:dyDescent="0.45">
      <c r="B8" s="32" t="s">
        <v>71</v>
      </c>
      <c r="C8" s="32">
        <v>4</v>
      </c>
      <c r="D8" s="32">
        <v>51</v>
      </c>
      <c r="E8" s="90">
        <v>55</v>
      </c>
      <c r="J8" s="88" t="s">
        <v>121</v>
      </c>
      <c r="K8" s="175">
        <f>C20</f>
        <v>9.2523364485981308</v>
      </c>
      <c r="L8" s="175">
        <f>D20</f>
        <v>45.747663551401871</v>
      </c>
      <c r="M8" s="175">
        <f>C21</f>
        <v>8.7476635514018692</v>
      </c>
      <c r="N8" s="175">
        <f>D21</f>
        <v>43.252336448598129</v>
      </c>
    </row>
    <row r="9" spans="2:15" x14ac:dyDescent="0.45">
      <c r="B9" s="33" t="s">
        <v>72</v>
      </c>
      <c r="C9" s="33">
        <v>14</v>
      </c>
      <c r="D9" s="33">
        <v>38</v>
      </c>
      <c r="E9" s="91">
        <v>52</v>
      </c>
      <c r="F9" s="31"/>
      <c r="J9" s="89" t="s">
        <v>122</v>
      </c>
      <c r="K9" s="176">
        <f>K7-K8</f>
        <v>-5.2523364485981308</v>
      </c>
      <c r="L9" s="176">
        <f t="shared" ref="L9:N9" si="0">L7-L8</f>
        <v>5.252336448598129</v>
      </c>
      <c r="M9" s="176">
        <f t="shared" si="0"/>
        <v>5.2523364485981308</v>
      </c>
      <c r="N9" s="176">
        <f t="shared" si="0"/>
        <v>-5.252336448598129</v>
      </c>
    </row>
    <row r="10" spans="2:15" ht="21.75" x14ac:dyDescent="0.45">
      <c r="B10" s="32"/>
      <c r="C10" s="32">
        <f>SUM(C8:C9)</f>
        <v>18</v>
      </c>
      <c r="D10" s="32">
        <f t="shared" ref="D10:E10" si="1">SUM(D8:D9)</f>
        <v>89</v>
      </c>
      <c r="E10" s="32">
        <f t="shared" si="1"/>
        <v>107</v>
      </c>
      <c r="F10" s="34">
        <f>C10/E10</f>
        <v>0.16822429906542055</v>
      </c>
      <c r="J10" s="89" t="s">
        <v>132</v>
      </c>
      <c r="K10" s="176">
        <f>K9*K9</f>
        <v>27.587038169272425</v>
      </c>
      <c r="L10" s="176">
        <f t="shared" ref="L10:N10" si="2">L9*L9</f>
        <v>27.587038169272407</v>
      </c>
      <c r="M10" s="176">
        <f t="shared" si="2"/>
        <v>27.587038169272425</v>
      </c>
      <c r="N10" s="176">
        <f t="shared" si="2"/>
        <v>27.587038169272407</v>
      </c>
    </row>
    <row r="11" spans="2:15" ht="21.75" x14ac:dyDescent="0.45">
      <c r="B11" s="32"/>
      <c r="C11" s="32"/>
      <c r="D11" s="32"/>
      <c r="J11" s="85" t="s">
        <v>133</v>
      </c>
      <c r="K11" s="175">
        <f>K10/K8</f>
        <v>2.9816293778910601</v>
      </c>
      <c r="L11" s="175">
        <f t="shared" ref="L11:N11" si="3">L10/L8</f>
        <v>0.60302616631504546</v>
      </c>
      <c r="M11" s="175">
        <f t="shared" si="3"/>
        <v>3.1536464573847751</v>
      </c>
      <c r="N11" s="175">
        <f t="shared" si="3"/>
        <v>0.63781613744860577</v>
      </c>
    </row>
    <row r="12" spans="2:15" x14ac:dyDescent="0.45">
      <c r="B12" s="229" t="s">
        <v>270</v>
      </c>
      <c r="J12" s="10"/>
      <c r="K12" s="10"/>
      <c r="L12" s="10"/>
      <c r="M12" s="10"/>
      <c r="N12" s="10"/>
    </row>
    <row r="13" spans="2:15" x14ac:dyDescent="0.45">
      <c r="B13" s="33"/>
      <c r="C13" s="33" t="s">
        <v>67</v>
      </c>
      <c r="D13" s="33" t="s">
        <v>68</v>
      </c>
      <c r="E13" s="31" t="s">
        <v>69</v>
      </c>
      <c r="F13" s="31" t="s">
        <v>131</v>
      </c>
      <c r="J13" s="13" t="s">
        <v>136</v>
      </c>
      <c r="K13" s="209">
        <f>SUM(K11:N11)</f>
        <v>7.3761181390394874</v>
      </c>
      <c r="L13" s="10"/>
      <c r="M13" s="11" t="s">
        <v>207</v>
      </c>
      <c r="N13" s="256" t="s">
        <v>210</v>
      </c>
      <c r="O13" s="256"/>
    </row>
    <row r="14" spans="2:15" x14ac:dyDescent="0.45">
      <c r="B14" s="32" t="s">
        <v>71</v>
      </c>
      <c r="C14" s="32"/>
      <c r="D14" s="32"/>
      <c r="E14" s="90">
        <v>55</v>
      </c>
      <c r="J14" s="10"/>
      <c r="K14" s="10"/>
      <c r="L14" s="10"/>
      <c r="M14" s="10"/>
      <c r="N14" s="10"/>
    </row>
    <row r="15" spans="2:15" x14ac:dyDescent="0.45">
      <c r="B15" s="33" t="s">
        <v>72</v>
      </c>
      <c r="C15" s="33"/>
      <c r="D15" s="33"/>
      <c r="E15" s="91">
        <v>52</v>
      </c>
      <c r="F15" s="31"/>
      <c r="J15" s="10"/>
      <c r="K15" s="10"/>
      <c r="L15" s="10"/>
      <c r="M15" s="10"/>
      <c r="N15" s="10"/>
    </row>
    <row r="16" spans="2:15" x14ac:dyDescent="0.45">
      <c r="B16" s="32"/>
      <c r="C16" s="92">
        <v>18</v>
      </c>
      <c r="D16" s="92">
        <v>89</v>
      </c>
      <c r="E16" s="32">
        <f t="shared" ref="E16" si="4">SUM(E14:E15)</f>
        <v>107</v>
      </c>
      <c r="F16" s="34">
        <f>C16/E16</f>
        <v>0.16822429906542055</v>
      </c>
      <c r="J16" s="85" t="s">
        <v>115</v>
      </c>
      <c r="K16" s="33" t="s">
        <v>116</v>
      </c>
      <c r="L16" s="33" t="s">
        <v>117</v>
      </c>
      <c r="M16" s="33" t="s">
        <v>118</v>
      </c>
      <c r="N16" s="33" t="s">
        <v>119</v>
      </c>
    </row>
    <row r="17" spans="2:15" x14ac:dyDescent="0.45">
      <c r="B17" s="32"/>
      <c r="C17" s="32"/>
      <c r="D17" s="32"/>
      <c r="J17" s="86" t="s">
        <v>120</v>
      </c>
      <c r="K17" s="32" t="s">
        <v>123</v>
      </c>
      <c r="L17" s="32" t="s">
        <v>124</v>
      </c>
      <c r="M17" s="32" t="s">
        <v>125</v>
      </c>
      <c r="N17" s="32" t="s">
        <v>126</v>
      </c>
    </row>
    <row r="18" spans="2:15" x14ac:dyDescent="0.45">
      <c r="B18" s="229" t="s">
        <v>267</v>
      </c>
      <c r="J18" s="88" t="s">
        <v>121</v>
      </c>
      <c r="K18" s="33" t="s">
        <v>127</v>
      </c>
      <c r="L18" s="33" t="s">
        <v>128</v>
      </c>
      <c r="M18" s="33" t="s">
        <v>129</v>
      </c>
      <c r="N18" s="33" t="s">
        <v>130</v>
      </c>
    </row>
    <row r="19" spans="2:15" x14ac:dyDescent="0.45">
      <c r="B19" s="33"/>
      <c r="C19" s="33" t="s">
        <v>67</v>
      </c>
      <c r="D19" s="33" t="s">
        <v>68</v>
      </c>
      <c r="E19" s="31" t="s">
        <v>69</v>
      </c>
      <c r="F19" s="31" t="s">
        <v>131</v>
      </c>
      <c r="J19" s="10"/>
      <c r="K19" s="10"/>
      <c r="L19" s="10"/>
      <c r="M19" s="10"/>
      <c r="N19" s="10"/>
    </row>
    <row r="20" spans="2:15" x14ac:dyDescent="0.45">
      <c r="B20" s="32" t="s">
        <v>71</v>
      </c>
      <c r="C20" s="171">
        <f>$E20*$F$22</f>
        <v>9.2523364485981308</v>
      </c>
      <c r="D20" s="171">
        <f>$E20*(1-$F$22)</f>
        <v>45.747663551401871</v>
      </c>
      <c r="E20" s="90">
        <v>55</v>
      </c>
      <c r="F20" s="11">
        <f>F22</f>
        <v>0.16822429906542055</v>
      </c>
    </row>
    <row r="21" spans="2:15" x14ac:dyDescent="0.45">
      <c r="B21" s="33" t="s">
        <v>72</v>
      </c>
      <c r="C21" s="172">
        <f>$E21*$F$22</f>
        <v>8.7476635514018692</v>
      </c>
      <c r="D21" s="172">
        <f>$E21*(1-$F$22)</f>
        <v>43.252336448598129</v>
      </c>
      <c r="E21" s="91">
        <v>52</v>
      </c>
      <c r="F21" s="31">
        <f>F22</f>
        <v>0.16822429906542055</v>
      </c>
      <c r="J21" s="265" t="s">
        <v>272</v>
      </c>
      <c r="K21" s="265"/>
      <c r="L21" s="265"/>
    </row>
    <row r="22" spans="2:15" x14ac:dyDescent="0.45">
      <c r="B22" s="32"/>
      <c r="C22" s="92">
        <v>18</v>
      </c>
      <c r="D22" s="92">
        <v>89</v>
      </c>
      <c r="E22" s="32">
        <f t="shared" ref="E22" si="5">SUM(E20:E21)</f>
        <v>107</v>
      </c>
      <c r="F22" s="11">
        <f>C22/E22</f>
        <v>0.16822429906542055</v>
      </c>
      <c r="J22" s="285">
        <f>_xlfn.CHISQ.DIST.RT(K13,1)</f>
        <v>6.6095683015975253E-3</v>
      </c>
      <c r="K22" s="285"/>
      <c r="L22" s="285"/>
      <c r="M22" s="11" t="s">
        <v>207</v>
      </c>
      <c r="N22" s="256" t="s">
        <v>208</v>
      </c>
      <c r="O22" s="256"/>
    </row>
    <row r="24" spans="2:15" x14ac:dyDescent="0.45">
      <c r="B24" s="229" t="s">
        <v>268</v>
      </c>
      <c r="I24" s="20" t="s">
        <v>114</v>
      </c>
    </row>
    <row r="25" spans="2:15" x14ac:dyDescent="0.45">
      <c r="B25" s="33"/>
      <c r="C25" s="33" t="s">
        <v>67</v>
      </c>
      <c r="D25" s="33" t="s">
        <v>68</v>
      </c>
      <c r="E25" s="31" t="s">
        <v>69</v>
      </c>
      <c r="F25" s="31" t="s">
        <v>131</v>
      </c>
      <c r="J25" s="13" t="s">
        <v>115</v>
      </c>
      <c r="K25" s="13" t="s">
        <v>116</v>
      </c>
      <c r="L25" s="13" t="s">
        <v>117</v>
      </c>
      <c r="M25" s="13" t="s">
        <v>118</v>
      </c>
      <c r="N25" s="13" t="s">
        <v>119</v>
      </c>
    </row>
    <row r="26" spans="2:15" x14ac:dyDescent="0.45">
      <c r="B26" s="32" t="s">
        <v>71</v>
      </c>
      <c r="C26" s="173">
        <f>F26</f>
        <v>0.16822429906542055</v>
      </c>
      <c r="D26" s="173">
        <f>1-C26</f>
        <v>0.83177570093457942</v>
      </c>
      <c r="E26" s="90">
        <v>55</v>
      </c>
      <c r="F26" s="11">
        <f>F28</f>
        <v>0.16822429906542055</v>
      </c>
      <c r="K26" s="148">
        <f>(K8/K7)^K7</f>
        <v>28.626331903943615</v>
      </c>
      <c r="L26" s="148">
        <f>(L8/L7)^L7</f>
        <v>3.9150369038905772E-3</v>
      </c>
      <c r="M26" s="148">
        <f>(M8/M7)^M7</f>
        <v>1.382599817578514E-3</v>
      </c>
      <c r="N26" s="148">
        <f>(N8/N7)^N7</f>
        <v>136.95789964781329</v>
      </c>
    </row>
    <row r="27" spans="2:15" x14ac:dyDescent="0.45">
      <c r="B27" s="33" t="s">
        <v>72</v>
      </c>
      <c r="C27" s="174">
        <f>F27</f>
        <v>0.16822429906542055</v>
      </c>
      <c r="D27" s="174">
        <f>1-C27</f>
        <v>0.83177570093457942</v>
      </c>
      <c r="E27" s="91">
        <v>52</v>
      </c>
      <c r="F27" s="31">
        <f>F28</f>
        <v>0.16822429906542055</v>
      </c>
    </row>
    <row r="28" spans="2:15" x14ac:dyDescent="0.45">
      <c r="B28" s="32"/>
      <c r="C28" s="92">
        <v>18</v>
      </c>
      <c r="D28" s="92">
        <v>89</v>
      </c>
      <c r="E28" s="32">
        <f t="shared" ref="E28" si="6">SUM(E26:E27)</f>
        <v>107</v>
      </c>
      <c r="F28" s="11">
        <f>C28/E28</f>
        <v>0.16822429906542055</v>
      </c>
      <c r="J28" s="46" t="s">
        <v>134</v>
      </c>
      <c r="K28" s="211">
        <f>K26*L26*M26*N26</f>
        <v>2.1221943056820972E-2</v>
      </c>
    </row>
    <row r="29" spans="2:15" x14ac:dyDescent="0.45">
      <c r="J29" s="46" t="s">
        <v>135</v>
      </c>
      <c r="K29" s="210">
        <f>-2*LN(K28)</f>
        <v>7.7054391654977623</v>
      </c>
      <c r="M29" s="11" t="s">
        <v>207</v>
      </c>
      <c r="N29" s="260" t="s">
        <v>211</v>
      </c>
      <c r="O29" s="261"/>
    </row>
    <row r="31" spans="2:15" x14ac:dyDescent="0.45">
      <c r="J31" s="265" t="s">
        <v>271</v>
      </c>
      <c r="K31" s="265"/>
      <c r="L31" s="265"/>
    </row>
    <row r="32" spans="2:15" x14ac:dyDescent="0.45">
      <c r="J32" s="286">
        <f>_xlfn.CHISQ.DIST.RT(K29,1)</f>
        <v>5.5054677065227578E-3</v>
      </c>
      <c r="K32" s="286"/>
      <c r="L32" s="286"/>
      <c r="M32" s="11" t="s">
        <v>207</v>
      </c>
      <c r="N32" s="256" t="s">
        <v>209</v>
      </c>
      <c r="O32" s="256"/>
    </row>
  </sheetData>
  <mergeCells count="9">
    <mergeCell ref="B2:E4"/>
    <mergeCell ref="N22:O22"/>
    <mergeCell ref="N32:O32"/>
    <mergeCell ref="N13:O13"/>
    <mergeCell ref="N29:O29"/>
    <mergeCell ref="J21:L21"/>
    <mergeCell ref="J22:L22"/>
    <mergeCell ref="J31:L31"/>
    <mergeCell ref="J32:L32"/>
  </mergeCells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5"/>
  <sheetViews>
    <sheetView workbookViewId="0">
      <selection activeCell="B2" sqref="B2:E4"/>
    </sheetView>
  </sheetViews>
  <sheetFormatPr defaultRowHeight="19.5" x14ac:dyDescent="0.45"/>
  <sheetData>
    <row r="2" spans="2:21" x14ac:dyDescent="0.45">
      <c r="B2" s="274" t="s">
        <v>285</v>
      </c>
      <c r="C2" s="275"/>
      <c r="D2" s="275"/>
      <c r="E2" s="276"/>
    </row>
    <row r="3" spans="2:21" ht="19.5" customHeight="1" x14ac:dyDescent="0.45">
      <c r="B3" s="277"/>
      <c r="C3" s="278"/>
      <c r="D3" s="278"/>
      <c r="E3" s="279"/>
    </row>
    <row r="4" spans="2:21" x14ac:dyDescent="0.45">
      <c r="B4" s="280"/>
      <c r="C4" s="281"/>
      <c r="D4" s="281"/>
      <c r="E4" s="282"/>
    </row>
    <row r="6" spans="2:21" x14ac:dyDescent="0.45">
      <c r="B6" s="227" t="s">
        <v>65</v>
      </c>
      <c r="C6" s="19"/>
      <c r="D6" s="58"/>
      <c r="E6" s="287" t="s">
        <v>66</v>
      </c>
      <c r="F6" s="287"/>
      <c r="G6" s="19"/>
      <c r="K6" s="20" t="s">
        <v>77</v>
      </c>
      <c r="M6" s="68"/>
      <c r="N6" s="69"/>
      <c r="O6" s="149" t="s">
        <v>78</v>
      </c>
      <c r="P6" s="149" t="s">
        <v>79</v>
      </c>
      <c r="Q6" s="70"/>
    </row>
    <row r="7" spans="2:21" x14ac:dyDescent="0.45">
      <c r="B7" s="19"/>
      <c r="C7" s="19"/>
      <c r="D7" s="59"/>
      <c r="E7" s="59" t="s">
        <v>67</v>
      </c>
      <c r="F7" s="59" t="s">
        <v>68</v>
      </c>
      <c r="G7" s="3" t="s">
        <v>69</v>
      </c>
      <c r="K7" s="19"/>
      <c r="M7" s="71">
        <v>4</v>
      </c>
      <c r="N7" s="41">
        <v>55</v>
      </c>
      <c r="O7" s="41">
        <f>M7/N7</f>
        <v>7.2727272727272724E-2</v>
      </c>
      <c r="P7" s="41">
        <f>O7*(1-O7)/N7</f>
        <v>1.2261457550713749E-3</v>
      </c>
      <c r="Q7" s="72"/>
    </row>
    <row r="8" spans="2:21" x14ac:dyDescent="0.45">
      <c r="B8" s="19"/>
      <c r="C8" s="283" t="s">
        <v>70</v>
      </c>
      <c r="D8" s="61" t="s">
        <v>71</v>
      </c>
      <c r="E8" s="61">
        <v>4</v>
      </c>
      <c r="F8" s="61">
        <v>51</v>
      </c>
      <c r="G8" s="62">
        <v>55</v>
      </c>
      <c r="K8" s="19"/>
      <c r="M8" s="71">
        <v>14</v>
      </c>
      <c r="N8" s="41">
        <v>52</v>
      </c>
      <c r="O8" s="41">
        <f>M8/N8</f>
        <v>0.26923076923076922</v>
      </c>
      <c r="P8" s="41">
        <f>O8*(1-O8)/N8</f>
        <v>3.7835685025034141E-3</v>
      </c>
      <c r="Q8" s="72"/>
    </row>
    <row r="9" spans="2:21" x14ac:dyDescent="0.45">
      <c r="B9" s="19"/>
      <c r="C9" s="283"/>
      <c r="D9" s="59" t="s">
        <v>72</v>
      </c>
      <c r="E9" s="59">
        <v>14</v>
      </c>
      <c r="F9" s="59">
        <v>38</v>
      </c>
      <c r="G9" s="63">
        <v>52</v>
      </c>
      <c r="K9" s="19"/>
      <c r="M9" s="71"/>
      <c r="N9" s="41"/>
      <c r="O9" s="41"/>
      <c r="P9" s="41"/>
      <c r="Q9" s="72"/>
    </row>
    <row r="10" spans="2:21" x14ac:dyDescent="0.45">
      <c r="K10" s="19"/>
      <c r="M10" s="71"/>
      <c r="N10" s="41"/>
      <c r="O10" s="150" t="s">
        <v>80</v>
      </c>
      <c r="P10" s="41">
        <f>P7+P8</f>
        <v>5.0097142575747889E-3</v>
      </c>
      <c r="Q10" s="72"/>
    </row>
    <row r="11" spans="2:21" x14ac:dyDescent="0.45">
      <c r="B11" s="233" t="s">
        <v>212</v>
      </c>
      <c r="C11" s="233"/>
      <c r="D11" s="233"/>
      <c r="E11" s="233"/>
      <c r="F11" s="233"/>
      <c r="K11" s="19"/>
      <c r="M11" s="71"/>
      <c r="N11" s="41"/>
      <c r="O11" s="150" t="s">
        <v>81</v>
      </c>
      <c r="P11" s="41">
        <f>SQRT(P10)</f>
        <v>7.0779334961376894E-2</v>
      </c>
      <c r="Q11" s="72"/>
    </row>
    <row r="12" spans="2:21" x14ac:dyDescent="0.45">
      <c r="K12" s="19"/>
      <c r="M12" s="71"/>
      <c r="N12" s="41"/>
      <c r="O12" s="150"/>
      <c r="P12" s="41"/>
      <c r="Q12" s="72"/>
    </row>
    <row r="13" spans="2:21" x14ac:dyDescent="0.45">
      <c r="K13" s="19"/>
      <c r="M13" s="71"/>
      <c r="N13" s="41"/>
      <c r="O13" s="150" t="s">
        <v>82</v>
      </c>
      <c r="P13" s="41">
        <f>O8-O7</f>
        <v>0.19650349650349649</v>
      </c>
      <c r="Q13" s="72"/>
    </row>
    <row r="14" spans="2:21" x14ac:dyDescent="0.45">
      <c r="K14" s="19"/>
      <c r="M14" s="73"/>
      <c r="N14" s="74"/>
      <c r="O14" s="146" t="s">
        <v>83</v>
      </c>
      <c r="P14" s="75">
        <f>P13-1.96*P11</f>
        <v>5.7775999979197773E-2</v>
      </c>
      <c r="Q14" s="75">
        <f>P13+1.96*P11</f>
        <v>0.33523099302779524</v>
      </c>
    </row>
    <row r="15" spans="2:21" x14ac:dyDescent="0.45">
      <c r="K15" s="19"/>
    </row>
    <row r="16" spans="2:21" ht="19.149999999999999" customHeight="1" x14ac:dyDescent="0.45">
      <c r="M16" s="41"/>
      <c r="N16" s="41"/>
      <c r="O16" s="41"/>
      <c r="P16" s="41"/>
      <c r="Q16" s="41"/>
      <c r="R16" s="41"/>
      <c r="S16" s="41"/>
      <c r="T16" s="41"/>
      <c r="U16" s="41"/>
    </row>
    <row r="17" spans="2:21" x14ac:dyDescent="0.45">
      <c r="K17" s="19"/>
      <c r="M17" s="41"/>
      <c r="N17" s="41"/>
      <c r="O17" s="41"/>
      <c r="P17" s="41"/>
      <c r="Q17" s="41"/>
      <c r="R17" s="41"/>
      <c r="S17" s="41"/>
      <c r="T17" s="41"/>
      <c r="U17" s="41"/>
    </row>
    <row r="18" spans="2:21" x14ac:dyDescent="0.45">
      <c r="K18" s="19"/>
      <c r="M18" s="41"/>
      <c r="N18" s="41"/>
      <c r="O18" s="41"/>
      <c r="P18" s="41"/>
      <c r="Q18" s="41"/>
      <c r="R18" s="41"/>
      <c r="S18" s="41"/>
      <c r="T18" s="41"/>
      <c r="U18" s="41"/>
    </row>
    <row r="19" spans="2:21" x14ac:dyDescent="0.45">
      <c r="K19" s="19"/>
      <c r="M19" s="41"/>
      <c r="N19" s="41"/>
      <c r="O19" s="41"/>
      <c r="P19" s="41"/>
      <c r="Q19" s="41"/>
      <c r="R19" s="41"/>
      <c r="S19" s="41"/>
      <c r="T19" s="41"/>
      <c r="U19" s="41"/>
    </row>
    <row r="20" spans="2:21" x14ac:dyDescent="0.45">
      <c r="K20" s="19"/>
      <c r="M20" s="41"/>
      <c r="N20" s="41"/>
      <c r="O20" s="41"/>
      <c r="P20" s="41"/>
      <c r="Q20" s="41"/>
      <c r="R20" s="41"/>
      <c r="S20" s="41"/>
      <c r="T20" s="41"/>
      <c r="U20" s="41"/>
    </row>
    <row r="21" spans="2:21" x14ac:dyDescent="0.45">
      <c r="K21" s="19"/>
      <c r="M21" s="41"/>
      <c r="N21" s="41"/>
      <c r="O21" s="41"/>
      <c r="P21" s="41"/>
      <c r="Q21" s="41"/>
      <c r="R21" s="41"/>
      <c r="S21" s="41"/>
      <c r="T21" s="41"/>
      <c r="U21" s="41"/>
    </row>
    <row r="22" spans="2:21" x14ac:dyDescent="0.45">
      <c r="K22" s="19"/>
      <c r="M22" s="41"/>
      <c r="N22" s="41"/>
      <c r="O22" s="41"/>
      <c r="P22" s="41"/>
      <c r="Q22" s="41"/>
      <c r="R22" s="41"/>
      <c r="S22" s="41"/>
      <c r="T22" s="41"/>
      <c r="U22" s="41"/>
    </row>
    <row r="23" spans="2:21" x14ac:dyDescent="0.45">
      <c r="K23" s="19"/>
      <c r="M23" s="41"/>
      <c r="N23" s="41"/>
      <c r="O23" s="41"/>
      <c r="P23" s="41"/>
      <c r="Q23" s="41"/>
      <c r="R23" s="41"/>
      <c r="S23" s="41"/>
      <c r="T23" s="41"/>
      <c r="U23" s="41"/>
    </row>
    <row r="24" spans="2:21" x14ac:dyDescent="0.45">
      <c r="K24" s="19"/>
      <c r="M24" s="41"/>
      <c r="N24" s="41"/>
      <c r="O24" s="41"/>
      <c r="P24" s="41"/>
      <c r="Q24" s="41"/>
      <c r="R24" s="41"/>
      <c r="S24" s="41"/>
      <c r="T24" s="41"/>
      <c r="U24" s="41"/>
    </row>
    <row r="25" spans="2:21" x14ac:dyDescent="0.45">
      <c r="K25" s="19"/>
      <c r="M25" s="41"/>
      <c r="N25" s="41"/>
      <c r="O25" s="41"/>
      <c r="P25" s="41"/>
      <c r="Q25" s="41"/>
      <c r="R25" s="41"/>
      <c r="S25" s="41"/>
      <c r="T25" s="41"/>
      <c r="U25" s="41"/>
    </row>
    <row r="26" spans="2:21" x14ac:dyDescent="0.45">
      <c r="K26" s="19"/>
      <c r="M26" s="41"/>
      <c r="N26" s="41"/>
      <c r="O26" s="41"/>
      <c r="P26" s="41"/>
      <c r="Q26" s="41"/>
      <c r="R26" s="41"/>
      <c r="S26" s="41"/>
      <c r="T26" s="41"/>
      <c r="U26" s="41"/>
    </row>
    <row r="27" spans="2:21" x14ac:dyDescent="0.45">
      <c r="K27" s="19"/>
      <c r="M27" s="41"/>
      <c r="N27" s="41"/>
      <c r="O27" s="41"/>
      <c r="P27" s="41"/>
      <c r="Q27" s="41"/>
      <c r="R27" s="41"/>
      <c r="S27" s="41"/>
      <c r="T27" s="41"/>
      <c r="U27" s="41"/>
    </row>
    <row r="28" spans="2:21" x14ac:dyDescent="0.45">
      <c r="B28" s="233" t="s">
        <v>283</v>
      </c>
      <c r="C28" s="233"/>
      <c r="D28" s="233"/>
      <c r="E28" s="233"/>
      <c r="F28" s="233"/>
      <c r="K28" s="19"/>
      <c r="M28" s="41"/>
      <c r="N28" s="41"/>
      <c r="O28" s="41"/>
      <c r="P28" s="41"/>
      <c r="Q28" s="41"/>
      <c r="R28" s="41"/>
      <c r="S28" s="41"/>
      <c r="T28" s="41"/>
      <c r="U28" s="41"/>
    </row>
    <row r="29" spans="2:21" x14ac:dyDescent="0.45">
      <c r="K29" s="19"/>
      <c r="M29" s="41"/>
      <c r="N29" s="41"/>
      <c r="O29" s="41"/>
      <c r="P29" s="41"/>
      <c r="Q29" s="41"/>
      <c r="R29" s="41"/>
      <c r="S29" s="41"/>
      <c r="T29" s="41"/>
      <c r="U29" s="41"/>
    </row>
    <row r="30" spans="2:21" x14ac:dyDescent="0.45">
      <c r="B30" s="233" t="s">
        <v>284</v>
      </c>
      <c r="C30" s="233"/>
      <c r="D30" s="233"/>
      <c r="E30" s="233"/>
      <c r="F30" s="233"/>
      <c r="K30" s="19"/>
      <c r="M30" s="41"/>
      <c r="N30" s="41"/>
      <c r="O30" s="41"/>
      <c r="P30" s="41"/>
      <c r="Q30" s="41"/>
      <c r="R30" s="41"/>
      <c r="S30" s="41"/>
      <c r="T30" s="41"/>
      <c r="U30" s="41"/>
    </row>
    <row r="31" spans="2:21" x14ac:dyDescent="0.45">
      <c r="K31" s="19"/>
      <c r="M31" s="41"/>
      <c r="N31" s="41"/>
      <c r="O31" s="41"/>
      <c r="P31" s="41"/>
      <c r="Q31" s="41"/>
      <c r="R31" s="41"/>
      <c r="S31" s="41"/>
      <c r="T31" s="41"/>
      <c r="U31" s="41"/>
    </row>
    <row r="32" spans="2:21" x14ac:dyDescent="0.45">
      <c r="K32" s="19"/>
      <c r="M32" s="41"/>
      <c r="N32" s="41"/>
      <c r="O32" s="41"/>
      <c r="P32" s="41"/>
      <c r="Q32" s="41"/>
      <c r="R32" s="41"/>
      <c r="S32" s="41"/>
      <c r="T32" s="41"/>
      <c r="U32" s="41"/>
    </row>
    <row r="33" spans="11:21" x14ac:dyDescent="0.45">
      <c r="K33" s="19"/>
      <c r="M33" s="41"/>
      <c r="N33" s="41"/>
      <c r="O33" s="41"/>
      <c r="P33" s="41"/>
      <c r="Q33" s="41"/>
      <c r="R33" s="41"/>
      <c r="S33" s="41"/>
      <c r="T33" s="41"/>
      <c r="U33" s="41"/>
    </row>
    <row r="34" spans="11:21" x14ac:dyDescent="0.45">
      <c r="K34" s="19"/>
      <c r="M34" s="41"/>
      <c r="N34" s="41"/>
      <c r="O34" s="41"/>
      <c r="P34" s="41"/>
      <c r="Q34" s="41"/>
      <c r="R34" s="41"/>
      <c r="S34" s="41"/>
      <c r="T34" s="41"/>
      <c r="U34" s="41"/>
    </row>
    <row r="35" spans="11:21" x14ac:dyDescent="0.45">
      <c r="K35" s="19"/>
      <c r="M35" s="41"/>
      <c r="N35" s="41"/>
      <c r="O35" s="41"/>
      <c r="P35" s="41"/>
      <c r="Q35" s="41"/>
      <c r="R35" s="41"/>
      <c r="S35" s="41"/>
      <c r="T35" s="41"/>
      <c r="U35" s="41"/>
    </row>
  </sheetData>
  <mergeCells count="6">
    <mergeCell ref="B28:F28"/>
    <mergeCell ref="B30:F30"/>
    <mergeCell ref="E6:F6"/>
    <mergeCell ref="C8:C9"/>
    <mergeCell ref="B2:E4"/>
    <mergeCell ref="B11:F11"/>
  </mergeCells>
  <phoneticPr fontId="1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8"/>
  <sheetViews>
    <sheetView workbookViewId="0">
      <selection activeCell="F5" sqref="F5"/>
    </sheetView>
  </sheetViews>
  <sheetFormatPr defaultRowHeight="19.5" x14ac:dyDescent="0.45"/>
  <cols>
    <col min="1" max="1" width="10.296875" customWidth="1"/>
    <col min="7" max="11" width="11.5" customWidth="1"/>
    <col min="12" max="12" width="7.5" customWidth="1"/>
    <col min="13" max="13" width="10.69921875" customWidth="1"/>
    <col min="14" max="14" width="7.5" customWidth="1"/>
    <col min="15" max="15" width="13.3984375" style="193" customWidth="1"/>
  </cols>
  <sheetData>
    <row r="2" spans="1:19" x14ac:dyDescent="0.45">
      <c r="B2" s="234" t="s">
        <v>249</v>
      </c>
      <c r="C2" s="234"/>
      <c r="D2" s="234"/>
      <c r="E2" s="234" t="s">
        <v>250</v>
      </c>
      <c r="F2" s="234"/>
      <c r="G2" s="234"/>
      <c r="H2" s="234"/>
    </row>
    <row r="3" spans="1:19" x14ac:dyDescent="0.45">
      <c r="E3" s="234" t="s">
        <v>251</v>
      </c>
      <c r="F3" s="234"/>
      <c r="G3" s="234"/>
      <c r="H3" s="234"/>
    </row>
    <row r="5" spans="1:19" x14ac:dyDescent="0.45">
      <c r="B5" s="184" t="s">
        <v>218</v>
      </c>
      <c r="C5" s="184" t="s">
        <v>219</v>
      </c>
      <c r="D5" s="184" t="s">
        <v>220</v>
      </c>
      <c r="E5" s="184" t="s">
        <v>221</v>
      </c>
    </row>
    <row r="6" spans="1:19" x14ac:dyDescent="0.45">
      <c r="A6" t="s">
        <v>217</v>
      </c>
      <c r="B6" s="212">
        <v>4</v>
      </c>
      <c r="C6" s="212">
        <v>51</v>
      </c>
      <c r="D6" s="212">
        <v>14</v>
      </c>
      <c r="E6" s="212">
        <v>38</v>
      </c>
      <c r="G6">
        <v>107</v>
      </c>
      <c r="L6" s="288" t="s">
        <v>236</v>
      </c>
      <c r="M6" s="289"/>
      <c r="O6" s="196"/>
      <c r="P6">
        <f>SUM(B6:E6)</f>
        <v>107</v>
      </c>
    </row>
    <row r="7" spans="1:19" x14ac:dyDescent="0.45">
      <c r="A7" t="s">
        <v>194</v>
      </c>
      <c r="B7" s="183">
        <v>9.25</v>
      </c>
      <c r="C7" s="183">
        <v>45.75</v>
      </c>
      <c r="D7" s="183">
        <v>8.75</v>
      </c>
      <c r="E7" s="183">
        <v>43.25</v>
      </c>
      <c r="O7" s="193" t="s">
        <v>242</v>
      </c>
      <c r="P7">
        <f>(B6+D6)/P6</f>
        <v>0.16822429906542055</v>
      </c>
    </row>
    <row r="9" spans="1:19" x14ac:dyDescent="0.45">
      <c r="A9" t="s">
        <v>34</v>
      </c>
      <c r="B9" s="50" t="s">
        <v>225</v>
      </c>
      <c r="C9" s="188">
        <v>7.3761200000000002</v>
      </c>
      <c r="D9" s="41"/>
      <c r="E9" s="50" t="s">
        <v>226</v>
      </c>
      <c r="F9" s="222">
        <v>2.1221943100000001E-2</v>
      </c>
      <c r="G9" s="51" t="s">
        <v>227</v>
      </c>
      <c r="H9" s="221">
        <v>7.7054400000000003</v>
      </c>
      <c r="O9" s="193" t="s">
        <v>238</v>
      </c>
      <c r="P9" s="212">
        <v>4</v>
      </c>
      <c r="Q9" s="212">
        <v>51</v>
      </c>
      <c r="R9" s="212">
        <v>14</v>
      </c>
      <c r="S9" s="212">
        <v>38</v>
      </c>
    </row>
    <row r="10" spans="1:19" x14ac:dyDescent="0.45">
      <c r="O10" s="193" t="s">
        <v>237</v>
      </c>
      <c r="P10" s="213">
        <f>(P9+Q9)*$P$7</f>
        <v>9.2523364485981308</v>
      </c>
      <c r="Q10" s="213">
        <f>55-P10</f>
        <v>45.747663551401871</v>
      </c>
      <c r="R10" s="213">
        <f>(R9+S9)*$P$7</f>
        <v>8.7476635514018692</v>
      </c>
      <c r="S10" s="213">
        <f>52-R10</f>
        <v>43.252336448598129</v>
      </c>
    </row>
    <row r="11" spans="1:19" x14ac:dyDescent="0.45">
      <c r="O11" s="193" t="s">
        <v>239</v>
      </c>
      <c r="P11" s="215">
        <f>P9-P10</f>
        <v>-5.2523364485981308</v>
      </c>
      <c r="Q11" s="215">
        <f t="shared" ref="Q11:S11" si="0">Q9-Q10</f>
        <v>5.252336448598129</v>
      </c>
      <c r="R11" s="215">
        <f t="shared" si="0"/>
        <v>5.2523364485981308</v>
      </c>
      <c r="S11" s="215">
        <f t="shared" si="0"/>
        <v>-5.252336448598129</v>
      </c>
    </row>
    <row r="12" spans="1:19" x14ac:dyDescent="0.45">
      <c r="A12" s="50" t="s">
        <v>160</v>
      </c>
      <c r="B12" s="50">
        <v>19</v>
      </c>
      <c r="O12" s="193" t="s">
        <v>240</v>
      </c>
      <c r="P12" s="215">
        <f>P11*P11</f>
        <v>27.587038169272425</v>
      </c>
      <c r="Q12" s="215">
        <f t="shared" ref="Q12:S12" si="1">Q11*Q11</f>
        <v>27.587038169272407</v>
      </c>
      <c r="R12" s="215">
        <f t="shared" si="1"/>
        <v>27.587038169272425</v>
      </c>
      <c r="S12" s="215">
        <f t="shared" si="1"/>
        <v>27.587038169272407</v>
      </c>
    </row>
    <row r="13" spans="1:19" x14ac:dyDescent="0.45">
      <c r="O13" s="193" t="s">
        <v>241</v>
      </c>
      <c r="P13" s="215">
        <f>P12/P10</f>
        <v>2.9816293778910601</v>
      </c>
      <c r="Q13" s="215">
        <f t="shared" ref="Q13:S13" si="2">Q12/Q10</f>
        <v>0.60302616631504546</v>
      </c>
      <c r="R13" s="215">
        <f t="shared" si="2"/>
        <v>3.1536464573847751</v>
      </c>
      <c r="S13" s="215">
        <f t="shared" si="2"/>
        <v>0.63781613744860577</v>
      </c>
    </row>
    <row r="14" spans="1:19" x14ac:dyDescent="0.45">
      <c r="B14" s="184" t="s">
        <v>218</v>
      </c>
      <c r="C14" s="184" t="s">
        <v>219</v>
      </c>
      <c r="D14" s="184" t="s">
        <v>220</v>
      </c>
      <c r="E14" s="184" t="s">
        <v>221</v>
      </c>
      <c r="G14" s="184" t="s">
        <v>216</v>
      </c>
      <c r="H14" s="184" t="s">
        <v>23</v>
      </c>
      <c r="I14" s="184" t="s">
        <v>228</v>
      </c>
      <c r="J14" s="184" t="s">
        <v>229</v>
      </c>
      <c r="K14" s="187" t="s">
        <v>230</v>
      </c>
      <c r="L14" s="193"/>
      <c r="M14" s="193" t="s">
        <v>248</v>
      </c>
      <c r="N14" s="193"/>
      <c r="P14" s="217"/>
      <c r="Q14" s="217"/>
      <c r="R14" s="217"/>
      <c r="S14" s="217"/>
    </row>
    <row r="15" spans="1:19" x14ac:dyDescent="0.45">
      <c r="B15" s="183">
        <v>0</v>
      </c>
      <c r="C15" s="183">
        <v>55</v>
      </c>
      <c r="D15" s="183">
        <v>18</v>
      </c>
      <c r="E15" s="183">
        <v>34</v>
      </c>
      <c r="F15" s="183"/>
      <c r="G15" s="225">
        <v>3.6770739364173198E-7</v>
      </c>
      <c r="H15" s="183">
        <v>22.8889</v>
      </c>
      <c r="I15" s="183" t="s">
        <v>24</v>
      </c>
      <c r="J15" s="183" t="s">
        <v>24</v>
      </c>
      <c r="K15" s="183">
        <v>3.2623989499999998E-7</v>
      </c>
      <c r="L15" s="196"/>
      <c r="M15" s="218">
        <f>COMBIN(55,B15)*COMBIN(52,D15)/COMBIN(107,18)</f>
        <v>3.6770739364173198E-7</v>
      </c>
      <c r="N15" s="196"/>
      <c r="O15" s="193" t="s">
        <v>244</v>
      </c>
      <c r="P15" s="215">
        <f>(P10/P9)^P9</f>
        <v>28.626331903943615</v>
      </c>
      <c r="Q15" s="215">
        <f t="shared" ref="Q15:S15" si="3">(Q10/Q9)^Q9</f>
        <v>3.9150369038905772E-3</v>
      </c>
      <c r="R15" s="215">
        <f t="shared" si="3"/>
        <v>1.382599817578514E-3</v>
      </c>
      <c r="S15" s="215">
        <f t="shared" si="3"/>
        <v>136.95789964781329</v>
      </c>
    </row>
    <row r="16" spans="1:19" x14ac:dyDescent="0.45">
      <c r="B16" s="183">
        <v>1</v>
      </c>
      <c r="C16" s="183">
        <v>54</v>
      </c>
      <c r="D16" s="183">
        <v>17</v>
      </c>
      <c r="E16" s="183">
        <v>35</v>
      </c>
      <c r="F16" s="183"/>
      <c r="G16" s="225">
        <v>1.04008662772947E-5</v>
      </c>
      <c r="H16" s="183">
        <v>18.208600000000001</v>
      </c>
      <c r="I16" s="183" t="s">
        <v>24</v>
      </c>
      <c r="J16" s="183" t="s">
        <v>24</v>
      </c>
      <c r="K16" s="183">
        <v>2.451303108802E-5</v>
      </c>
      <c r="L16" s="196"/>
      <c r="M16" s="218">
        <f t="shared" ref="M16:M33" si="4">COMBIN(55,B16)*COMBIN(52,D16)/COMBIN(107,18)</f>
        <v>1.0400866277294707E-5</v>
      </c>
      <c r="N16" s="196"/>
      <c r="P16" s="214"/>
      <c r="Q16" s="214"/>
      <c r="R16" s="214"/>
      <c r="S16" s="214"/>
    </row>
    <row r="17" spans="2:19" x14ac:dyDescent="0.45">
      <c r="B17" s="183">
        <v>2</v>
      </c>
      <c r="C17" s="183">
        <v>53</v>
      </c>
      <c r="D17" s="183">
        <v>16</v>
      </c>
      <c r="E17" s="183">
        <v>36</v>
      </c>
      <c r="F17" s="183"/>
      <c r="G17" s="225">
        <v>1.3261104503550799E-4</v>
      </c>
      <c r="H17" s="183">
        <v>14.063000000000001</v>
      </c>
      <c r="I17" s="183" t="s">
        <v>24</v>
      </c>
      <c r="J17" s="183" t="s">
        <v>24</v>
      </c>
      <c r="K17" s="219">
        <v>4.1417361806121001E-4</v>
      </c>
      <c r="L17" s="196"/>
      <c r="M17" s="218">
        <f t="shared" si="4"/>
        <v>1.3261104503550745E-4</v>
      </c>
      <c r="N17" s="196"/>
      <c r="O17" s="190" t="s">
        <v>243</v>
      </c>
      <c r="P17" s="216">
        <f>SUM(P13:S13)</f>
        <v>7.3761181390394874</v>
      </c>
      <c r="Q17" s="214"/>
      <c r="R17" s="214"/>
      <c r="S17" s="214"/>
    </row>
    <row r="18" spans="2:19" x14ac:dyDescent="0.45">
      <c r="B18" s="183">
        <v>3</v>
      </c>
      <c r="C18" s="183">
        <v>52</v>
      </c>
      <c r="D18" s="183">
        <v>15</v>
      </c>
      <c r="E18" s="183">
        <v>37</v>
      </c>
      <c r="F18" s="183"/>
      <c r="G18" s="225">
        <v>1.0131005963073E-3</v>
      </c>
      <c r="H18" s="183">
        <v>10.452199999999999</v>
      </c>
      <c r="I18" s="183" t="s">
        <v>24</v>
      </c>
      <c r="J18" s="183" t="s">
        <v>24</v>
      </c>
      <c r="K18" s="219">
        <v>3.7179449292522502E-3</v>
      </c>
      <c r="L18" s="196"/>
      <c r="M18" s="218">
        <f t="shared" si="4"/>
        <v>1.0131005963072998E-3</v>
      </c>
      <c r="N18" s="196"/>
    </row>
    <row r="19" spans="2:19" x14ac:dyDescent="0.45">
      <c r="B19" s="162">
        <v>4</v>
      </c>
      <c r="C19" s="162">
        <v>51</v>
      </c>
      <c r="D19" s="162">
        <v>14</v>
      </c>
      <c r="E19" s="162">
        <v>38</v>
      </c>
      <c r="F19" s="183"/>
      <c r="G19" s="226">
        <v>5.1988056915769397E-3</v>
      </c>
      <c r="H19" s="185">
        <v>7.3761000000000001</v>
      </c>
      <c r="I19" s="183" t="s">
        <v>27</v>
      </c>
      <c r="J19" s="183" t="s">
        <v>27</v>
      </c>
      <c r="K19" s="220">
        <v>2.1221943056820899E-2</v>
      </c>
      <c r="L19" s="196"/>
      <c r="M19" s="218">
        <f t="shared" si="4"/>
        <v>5.1988056915769363E-3</v>
      </c>
      <c r="N19" s="196"/>
      <c r="O19" s="190" t="s">
        <v>245</v>
      </c>
      <c r="P19" s="222">
        <f>P15*Q15*R15*S15</f>
        <v>2.1221943056820972E-2</v>
      </c>
    </row>
    <row r="20" spans="2:19" x14ac:dyDescent="0.45">
      <c r="B20" s="183">
        <v>5</v>
      </c>
      <c r="C20" s="183">
        <v>50</v>
      </c>
      <c r="D20" s="183">
        <v>13</v>
      </c>
      <c r="E20" s="183">
        <v>39</v>
      </c>
      <c r="F20" s="183"/>
      <c r="G20" s="218">
        <v>1.9035626993774001E-2</v>
      </c>
      <c r="H20" s="183">
        <v>4.8348000000000004</v>
      </c>
      <c r="I20" s="183"/>
      <c r="J20" s="183"/>
      <c r="K20" s="219">
        <v>8.3664220604684494E-2</v>
      </c>
      <c r="L20" s="196"/>
      <c r="M20" s="218">
        <f t="shared" si="4"/>
        <v>1.9035626993774001E-2</v>
      </c>
      <c r="N20" s="196"/>
      <c r="O20" s="191" t="s">
        <v>246</v>
      </c>
      <c r="P20" s="223">
        <f>-2*LN(P19)</f>
        <v>7.7054391654977623</v>
      </c>
    </row>
    <row r="21" spans="2:19" x14ac:dyDescent="0.45">
      <c r="B21" s="183">
        <v>6</v>
      </c>
      <c r="C21" s="183">
        <v>49</v>
      </c>
      <c r="D21" s="183">
        <v>12</v>
      </c>
      <c r="E21" s="183">
        <v>40</v>
      </c>
      <c r="F21" s="183"/>
      <c r="G21" s="218">
        <v>5.1554823108137998E-2</v>
      </c>
      <c r="H21" s="183">
        <v>2.8281999999999998</v>
      </c>
      <c r="I21" s="183"/>
      <c r="J21" s="183"/>
      <c r="K21" s="219">
        <v>0.238552093787611</v>
      </c>
      <c r="L21" s="196"/>
      <c r="M21" s="218">
        <f t="shared" si="4"/>
        <v>5.1554823108137943E-2</v>
      </c>
      <c r="N21" s="196"/>
    </row>
    <row r="22" spans="2:19" x14ac:dyDescent="0.45">
      <c r="B22" s="183">
        <v>7</v>
      </c>
      <c r="C22" s="183">
        <v>48</v>
      </c>
      <c r="D22" s="183">
        <v>11</v>
      </c>
      <c r="E22" s="183">
        <v>41</v>
      </c>
      <c r="F22" s="183"/>
      <c r="G22" s="218">
        <v>0.105624515636185</v>
      </c>
      <c r="H22" s="183">
        <v>1.3564000000000001</v>
      </c>
      <c r="I22" s="183"/>
      <c r="J22" s="183"/>
      <c r="K22" s="219">
        <v>0.50576634367505702</v>
      </c>
      <c r="L22" s="196"/>
      <c r="M22" s="218">
        <f t="shared" si="4"/>
        <v>0.10562451563618509</v>
      </c>
      <c r="N22" s="196"/>
      <c r="O22" s="190" t="s">
        <v>235</v>
      </c>
      <c r="P22" s="224">
        <f>SUM(G15:G19)+SUM(G30:G33)</f>
        <v>8.9931766426800397E-3</v>
      </c>
    </row>
    <row r="23" spans="2:19" x14ac:dyDescent="0.45">
      <c r="B23" s="183">
        <v>8</v>
      </c>
      <c r="C23" s="183">
        <v>47</v>
      </c>
      <c r="D23" s="183">
        <v>10</v>
      </c>
      <c r="E23" s="183">
        <v>42</v>
      </c>
      <c r="F23" s="183"/>
      <c r="G23" s="218">
        <v>0.16598138171400501</v>
      </c>
      <c r="H23" s="183">
        <v>0.41930000000000001</v>
      </c>
      <c r="I23" s="183"/>
      <c r="J23" s="183"/>
      <c r="K23" s="219">
        <v>0.81074419264199205</v>
      </c>
      <c r="L23" s="196"/>
      <c r="M23" s="218">
        <f t="shared" si="4"/>
        <v>0.16598138171400501</v>
      </c>
      <c r="N23" s="196"/>
      <c r="O23" s="190" t="s">
        <v>247</v>
      </c>
      <c r="P23" s="50">
        <f>P22-G19/2</f>
        <v>6.3937737968915703E-3</v>
      </c>
    </row>
    <row r="24" spans="2:19" x14ac:dyDescent="0.45">
      <c r="B24" s="183">
        <v>9</v>
      </c>
      <c r="C24" s="183">
        <v>46</v>
      </c>
      <c r="D24" s="183">
        <v>9</v>
      </c>
      <c r="E24" s="183">
        <v>43</v>
      </c>
      <c r="F24" s="183"/>
      <c r="G24" s="218">
        <v>0.201579455828378</v>
      </c>
      <c r="H24" s="183">
        <v>1.7000000000000001E-2</v>
      </c>
      <c r="I24" s="183"/>
      <c r="J24" s="183"/>
      <c r="K24" s="219">
        <v>0.99152631529100599</v>
      </c>
      <c r="L24" s="196"/>
      <c r="M24" s="218">
        <f t="shared" si="4"/>
        <v>0.20157945582837827</v>
      </c>
      <c r="N24" s="196"/>
    </row>
    <row r="25" spans="2:19" x14ac:dyDescent="0.45">
      <c r="B25" s="183">
        <v>10</v>
      </c>
      <c r="C25" s="183">
        <v>45</v>
      </c>
      <c r="D25" s="183">
        <v>8</v>
      </c>
      <c r="E25" s="183">
        <v>44</v>
      </c>
      <c r="F25" s="183"/>
      <c r="G25" s="218">
        <v>0.18966794252942901</v>
      </c>
      <c r="H25" s="183">
        <v>0.14949999999999999</v>
      </c>
      <c r="I25" s="183"/>
      <c r="J25" s="183"/>
      <c r="K25" s="219">
        <v>0.92783869573117606</v>
      </c>
      <c r="L25" s="196"/>
      <c r="M25" s="218">
        <f t="shared" si="4"/>
        <v>0.1896679425294287</v>
      </c>
      <c r="N25" s="196"/>
    </row>
    <row r="26" spans="2:19" x14ac:dyDescent="0.45">
      <c r="B26" s="183">
        <v>11</v>
      </c>
      <c r="C26" s="183">
        <v>44</v>
      </c>
      <c r="D26" s="183">
        <v>7</v>
      </c>
      <c r="E26" s="183">
        <v>45</v>
      </c>
      <c r="F26" s="183"/>
      <c r="G26" s="218">
        <v>0.13794032183958499</v>
      </c>
      <c r="H26" s="183">
        <v>0.81669999999999998</v>
      </c>
      <c r="I26" s="183"/>
      <c r="J26" s="183"/>
      <c r="K26" s="219">
        <v>0.66250103334987698</v>
      </c>
      <c r="L26" s="196"/>
      <c r="M26" s="218">
        <f t="shared" si="4"/>
        <v>0.13794032183958449</v>
      </c>
      <c r="N26" s="196"/>
    </row>
    <row r="27" spans="2:19" x14ac:dyDescent="0.45">
      <c r="B27" s="183">
        <v>12</v>
      </c>
      <c r="C27" s="183">
        <v>43</v>
      </c>
      <c r="D27" s="183">
        <v>6</v>
      </c>
      <c r="E27" s="183">
        <v>46</v>
      </c>
      <c r="F27" s="183"/>
      <c r="G27" s="218">
        <v>7.6966701316289896E-2</v>
      </c>
      <c r="H27" s="183">
        <v>2.0186000000000002</v>
      </c>
      <c r="I27" s="183"/>
      <c r="J27" s="183"/>
      <c r="K27" s="219">
        <v>0.35775602788330002</v>
      </c>
      <c r="L27" s="196"/>
      <c r="M27" s="218">
        <f t="shared" si="4"/>
        <v>7.6966701316289882E-2</v>
      </c>
      <c r="N27" s="196"/>
    </row>
    <row r="28" spans="2:19" x14ac:dyDescent="0.45">
      <c r="B28" s="183">
        <v>13</v>
      </c>
      <c r="C28" s="183">
        <v>42</v>
      </c>
      <c r="D28" s="183">
        <v>5</v>
      </c>
      <c r="E28" s="183">
        <v>47</v>
      </c>
      <c r="F28" s="183"/>
      <c r="G28" s="218">
        <v>3.2499850964980002E-2</v>
      </c>
      <c r="H28" s="183">
        <v>3.7553000000000001</v>
      </c>
      <c r="I28" s="183"/>
      <c r="J28" s="183"/>
      <c r="K28" s="219">
        <v>0.14371104281223901</v>
      </c>
      <c r="L28" s="196"/>
      <c r="M28" s="218">
        <f t="shared" si="4"/>
        <v>3.2499850964980016E-2</v>
      </c>
      <c r="N28" s="196"/>
    </row>
    <row r="29" spans="2:19" x14ac:dyDescent="0.45">
      <c r="B29" s="183">
        <v>14</v>
      </c>
      <c r="C29" s="183">
        <v>41</v>
      </c>
      <c r="D29" s="183">
        <v>4</v>
      </c>
      <c r="E29" s="183">
        <v>48</v>
      </c>
      <c r="F29" s="183"/>
      <c r="G29" s="218">
        <v>1.01562034265563E-2</v>
      </c>
      <c r="H29" s="183">
        <v>6.0266999999999999</v>
      </c>
      <c r="I29" s="183"/>
      <c r="J29" s="183"/>
      <c r="K29" s="219">
        <v>4.1775655949502603E-2</v>
      </c>
      <c r="L29" s="196"/>
      <c r="M29" s="218">
        <f t="shared" si="4"/>
        <v>1.0156203426556256E-2</v>
      </c>
      <c r="N29" s="196"/>
    </row>
    <row r="30" spans="2:19" x14ac:dyDescent="0.45">
      <c r="B30" s="183">
        <v>15</v>
      </c>
      <c r="C30" s="183">
        <v>40</v>
      </c>
      <c r="D30" s="183">
        <v>3</v>
      </c>
      <c r="E30" s="183">
        <v>49</v>
      </c>
      <c r="F30" s="183"/>
      <c r="G30" s="225">
        <v>2.2661460706873801E-3</v>
      </c>
      <c r="H30" s="183">
        <v>8.8329000000000004</v>
      </c>
      <c r="I30" s="183" t="s">
        <v>24</v>
      </c>
      <c r="J30" s="183" t="s">
        <v>24</v>
      </c>
      <c r="K30" s="219">
        <v>8.3933056303932604E-3</v>
      </c>
      <c r="L30" s="196"/>
      <c r="M30" s="218">
        <f t="shared" si="4"/>
        <v>2.2661460706873823E-3</v>
      </c>
      <c r="N30" s="196"/>
    </row>
    <row r="31" spans="2:19" x14ac:dyDescent="0.45">
      <c r="B31" s="183">
        <v>16</v>
      </c>
      <c r="C31" s="183">
        <v>39</v>
      </c>
      <c r="D31" s="183">
        <v>2</v>
      </c>
      <c r="E31" s="183">
        <v>50</v>
      </c>
      <c r="F31" s="183"/>
      <c r="G31" s="225">
        <v>3.39921910603107E-4</v>
      </c>
      <c r="H31" s="183">
        <v>12.1739</v>
      </c>
      <c r="I31" s="183" t="s">
        <v>24</v>
      </c>
      <c r="J31" s="183" t="s">
        <v>24</v>
      </c>
      <c r="K31" s="219">
        <v>1.0731826860757899E-3</v>
      </c>
      <c r="L31" s="196"/>
      <c r="M31" s="218">
        <f t="shared" si="4"/>
        <v>3.3992191060310716E-4</v>
      </c>
      <c r="N31" s="196"/>
    </row>
    <row r="32" spans="2:19" x14ac:dyDescent="0.45">
      <c r="B32" s="183">
        <v>17</v>
      </c>
      <c r="C32" s="183">
        <v>38</v>
      </c>
      <c r="D32" s="183">
        <v>1</v>
      </c>
      <c r="E32" s="183">
        <v>51</v>
      </c>
      <c r="F32" s="183"/>
      <c r="G32" s="225">
        <v>3.0581209950452603E-5</v>
      </c>
      <c r="H32" s="183">
        <v>16.049600000000002</v>
      </c>
      <c r="I32" s="183" t="s">
        <v>24</v>
      </c>
      <c r="J32" s="183" t="s">
        <v>24</v>
      </c>
      <c r="K32" s="183">
        <v>7.2976989954139998E-5</v>
      </c>
      <c r="L32" s="196"/>
      <c r="M32" s="218">
        <f t="shared" si="4"/>
        <v>3.0581209950452562E-5</v>
      </c>
      <c r="N32" s="196"/>
    </row>
    <row r="33" spans="1:14" x14ac:dyDescent="0.45">
      <c r="B33" s="183">
        <v>18</v>
      </c>
      <c r="C33" s="183">
        <v>37</v>
      </c>
      <c r="D33" s="183">
        <v>0</v>
      </c>
      <c r="E33" s="183">
        <v>52</v>
      </c>
      <c r="F33" s="183"/>
      <c r="G33" s="225">
        <v>1.2415448484158099E-6</v>
      </c>
      <c r="H33" s="183">
        <v>20.460100000000001</v>
      </c>
      <c r="I33" s="183" t="s">
        <v>24</v>
      </c>
      <c r="J33" s="183" t="s">
        <v>24</v>
      </c>
      <c r="K33" s="183">
        <v>1.11719892923E-6</v>
      </c>
      <c r="L33" s="196"/>
      <c r="M33" s="218">
        <f t="shared" si="4"/>
        <v>1.2415448484158088E-6</v>
      </c>
      <c r="N33" s="196"/>
    </row>
    <row r="35" spans="1:14" x14ac:dyDescent="0.45">
      <c r="A35" s="234" t="s">
        <v>107</v>
      </c>
      <c r="B35" s="50" t="s">
        <v>25</v>
      </c>
      <c r="C35" s="224">
        <v>8.9929999999999993E-3</v>
      </c>
      <c r="D35" s="184" t="s">
        <v>222</v>
      </c>
      <c r="E35" s="245" t="s">
        <v>223</v>
      </c>
      <c r="F35" s="246"/>
      <c r="G35" s="246"/>
      <c r="H35" s="246"/>
      <c r="I35" s="246"/>
      <c r="J35" s="246"/>
      <c r="K35" s="247"/>
      <c r="L35" s="196"/>
      <c r="M35" s="196"/>
      <c r="N35" s="196"/>
    </row>
    <row r="36" spans="1:14" x14ac:dyDescent="0.45">
      <c r="A36" s="234"/>
      <c r="B36" s="50" t="s">
        <v>28</v>
      </c>
      <c r="C36" s="50">
        <v>6.3940000000000004E-3</v>
      </c>
    </row>
    <row r="37" spans="1:14" x14ac:dyDescent="0.45">
      <c r="A37" s="234"/>
      <c r="B37" s="50" t="s">
        <v>26</v>
      </c>
      <c r="C37" s="224">
        <v>8.9929999999999993E-3</v>
      </c>
      <c r="D37" s="184" t="s">
        <v>222</v>
      </c>
      <c r="E37" s="245" t="s">
        <v>224</v>
      </c>
      <c r="F37" s="246"/>
      <c r="G37" s="246"/>
      <c r="H37" s="246"/>
      <c r="I37" s="246"/>
      <c r="J37" s="246"/>
      <c r="K37" s="247"/>
      <c r="L37" s="196"/>
      <c r="M37" s="196"/>
      <c r="N37" s="196"/>
    </row>
    <row r="38" spans="1:14" x14ac:dyDescent="0.45">
      <c r="A38" s="234"/>
      <c r="B38" s="50" t="s">
        <v>29</v>
      </c>
      <c r="C38" s="50">
        <v>6.3940000000000004E-3</v>
      </c>
    </row>
  </sheetData>
  <mergeCells count="7">
    <mergeCell ref="A35:A38"/>
    <mergeCell ref="E35:K35"/>
    <mergeCell ref="E37:K37"/>
    <mergeCell ref="L6:M6"/>
    <mergeCell ref="B2:D2"/>
    <mergeCell ref="E2:H2"/>
    <mergeCell ref="E3:H3"/>
  </mergeCells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tabSelected="1" workbookViewId="0">
      <selection activeCell="F8" sqref="F8"/>
    </sheetView>
  </sheetViews>
  <sheetFormatPr defaultRowHeight="19.5" x14ac:dyDescent="0.45"/>
  <sheetData>
    <row r="2" spans="2:11" x14ac:dyDescent="0.45">
      <c r="B2" s="274" t="s">
        <v>214</v>
      </c>
      <c r="C2" s="275"/>
      <c r="D2" s="276"/>
    </row>
    <row r="3" spans="2:11" x14ac:dyDescent="0.45">
      <c r="B3" s="280"/>
      <c r="C3" s="281"/>
      <c r="D3" s="282"/>
      <c r="G3" s="233" t="s">
        <v>215</v>
      </c>
      <c r="H3" s="233"/>
      <c r="I3" s="233"/>
      <c r="J3" s="233"/>
      <c r="K3" s="233"/>
    </row>
    <row r="5" spans="2:11" x14ac:dyDescent="0.45">
      <c r="B5" s="45"/>
      <c r="C5" s="45"/>
      <c r="D5" s="47"/>
      <c r="E5" s="65" t="s">
        <v>107</v>
      </c>
    </row>
    <row r="6" spans="2:11" x14ac:dyDescent="0.45">
      <c r="B6" s="66" t="s">
        <v>108</v>
      </c>
      <c r="C6" s="66" t="s">
        <v>109</v>
      </c>
      <c r="D6" s="47"/>
      <c r="E6" s="45" t="s">
        <v>110</v>
      </c>
    </row>
    <row r="7" spans="2:11" x14ac:dyDescent="0.45">
      <c r="B7" s="65" t="s">
        <v>111</v>
      </c>
      <c r="C7" s="65" t="s">
        <v>112</v>
      </c>
      <c r="D7" s="47"/>
      <c r="E7" s="65" t="s">
        <v>113</v>
      </c>
    </row>
    <row r="8" spans="2:11" x14ac:dyDescent="0.45">
      <c r="B8" s="45"/>
      <c r="C8" s="45"/>
      <c r="D8" s="47"/>
      <c r="E8" s="45"/>
    </row>
    <row r="9" spans="2:11" x14ac:dyDescent="0.45">
      <c r="B9" s="66">
        <v>4</v>
      </c>
      <c r="C9" s="66">
        <v>6</v>
      </c>
      <c r="D9" s="45"/>
      <c r="E9" s="141">
        <v>0.65628179869666503</v>
      </c>
    </row>
    <row r="10" spans="2:11" x14ac:dyDescent="0.45">
      <c r="B10" s="65">
        <v>6</v>
      </c>
      <c r="C10" s="65">
        <v>4</v>
      </c>
      <c r="D10" s="45"/>
      <c r="E10" s="142">
        <v>0.37109336952269767</v>
      </c>
    </row>
    <row r="11" spans="2:11" x14ac:dyDescent="0.45">
      <c r="B11" s="45"/>
      <c r="C11" s="45"/>
      <c r="D11" s="47"/>
      <c r="E11" s="45"/>
    </row>
    <row r="12" spans="2:11" x14ac:dyDescent="0.45">
      <c r="B12" s="66">
        <v>40</v>
      </c>
      <c r="C12" s="66">
        <v>60</v>
      </c>
      <c r="D12" s="45"/>
      <c r="E12" s="83">
        <v>7.0595154950190359E-3</v>
      </c>
    </row>
    <row r="13" spans="2:11" x14ac:dyDescent="0.45">
      <c r="B13" s="65">
        <v>60</v>
      </c>
      <c r="C13" s="65">
        <v>40</v>
      </c>
      <c r="D13" s="45"/>
      <c r="E13" s="84">
        <v>4.6777349810472645E-3</v>
      </c>
    </row>
    <row r="14" spans="2:11" x14ac:dyDescent="0.45">
      <c r="B14" s="45"/>
      <c r="C14" s="45"/>
      <c r="D14" s="47"/>
      <c r="E14" s="45"/>
    </row>
    <row r="15" spans="2:11" x14ac:dyDescent="0.45">
      <c r="B15" s="66">
        <v>400</v>
      </c>
      <c r="C15" s="66">
        <v>600</v>
      </c>
      <c r="D15" s="45"/>
      <c r="E15" s="83">
        <v>4.2999524251273788E-19</v>
      </c>
    </row>
    <row r="16" spans="2:11" x14ac:dyDescent="0.45">
      <c r="B16" s="65">
        <v>600</v>
      </c>
      <c r="C16" s="65">
        <v>400</v>
      </c>
      <c r="D16" s="45"/>
      <c r="E16" s="84">
        <v>4.2999524251273788E-19</v>
      </c>
    </row>
    <row r="17" spans="2:5" x14ac:dyDescent="0.45">
      <c r="B17" s="45"/>
      <c r="C17" s="45"/>
      <c r="D17" s="47"/>
      <c r="E17" s="45"/>
    </row>
    <row r="18" spans="2:5" x14ac:dyDescent="0.45">
      <c r="B18" s="66">
        <v>4900</v>
      </c>
      <c r="C18" s="66">
        <v>5100</v>
      </c>
      <c r="D18" s="45"/>
      <c r="E18" s="83">
        <v>4.8873526785765372E-3</v>
      </c>
    </row>
    <row r="19" spans="2:5" x14ac:dyDescent="0.45">
      <c r="B19" s="65">
        <v>5100</v>
      </c>
      <c r="C19" s="65">
        <v>4900</v>
      </c>
      <c r="D19" s="45"/>
      <c r="E19" s="84">
        <v>4.6777349810472645E-3</v>
      </c>
    </row>
  </sheetData>
  <mergeCells count="2">
    <mergeCell ref="B2:D3"/>
    <mergeCell ref="G3:K3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5"/>
  <sheetViews>
    <sheetView workbookViewId="0"/>
  </sheetViews>
  <sheetFormatPr defaultColWidth="8.69921875" defaultRowHeight="19.5" x14ac:dyDescent="0.45"/>
  <cols>
    <col min="1" max="1" width="8.69921875" style="5"/>
    <col min="2" max="2" width="8.69921875" style="4"/>
    <col min="3" max="9" width="8.69921875" style="5"/>
    <col min="10" max="11" width="10.69921875" style="5" customWidth="1"/>
    <col min="12" max="13" width="11.09765625" style="5" customWidth="1"/>
    <col min="14" max="16384" width="8.69921875" style="5"/>
  </cols>
  <sheetData>
    <row r="2" spans="2:11" x14ac:dyDescent="0.45">
      <c r="B2" s="232" t="s">
        <v>199</v>
      </c>
      <c r="C2" s="233"/>
      <c r="D2" s="233"/>
      <c r="E2" s="233"/>
      <c r="J2" s="237" t="s">
        <v>200</v>
      </c>
      <c r="K2" s="238"/>
    </row>
    <row r="3" spans="2:11" x14ac:dyDescent="0.45">
      <c r="B3" s="233"/>
      <c r="C3" s="233"/>
      <c r="D3" s="233"/>
      <c r="E3" s="233"/>
      <c r="J3" s="238"/>
      <c r="K3" s="238"/>
    </row>
    <row r="4" spans="2:11" x14ac:dyDescent="0.45">
      <c r="B4" s="233"/>
      <c r="C4" s="233"/>
      <c r="D4" s="233"/>
      <c r="E4" s="233"/>
      <c r="J4" s="238"/>
      <c r="K4" s="238"/>
    </row>
    <row r="5" spans="2:11" x14ac:dyDescent="0.45">
      <c r="B5" s="233"/>
      <c r="C5" s="233"/>
      <c r="D5" s="233"/>
      <c r="E5" s="233"/>
      <c r="J5" s="238"/>
      <c r="K5" s="238"/>
    </row>
    <row r="6" spans="2:11" x14ac:dyDescent="0.45">
      <c r="B6" s="144"/>
    </row>
    <row r="7" spans="2:11" x14ac:dyDescent="0.45">
      <c r="B7" s="238" t="s">
        <v>6</v>
      </c>
      <c r="C7" s="238"/>
      <c r="D7" s="238"/>
      <c r="E7" s="238"/>
      <c r="J7" s="108" t="s">
        <v>162</v>
      </c>
      <c r="K7" s="108" t="s">
        <v>163</v>
      </c>
    </row>
    <row r="8" spans="2:11" x14ac:dyDescent="0.45">
      <c r="B8" s="235" t="s">
        <v>5</v>
      </c>
      <c r="C8" s="236"/>
      <c r="D8" s="236"/>
      <c r="E8" s="236"/>
      <c r="J8" s="108" t="s">
        <v>161</v>
      </c>
      <c r="K8" s="108" t="s">
        <v>164</v>
      </c>
    </row>
    <row r="9" spans="2:11" x14ac:dyDescent="0.45">
      <c r="B9" s="9"/>
      <c r="J9" s="110">
        <v>1.9599599999999999</v>
      </c>
      <c r="K9" s="197">
        <f>J9*J9</f>
        <v>3.8414432015999997</v>
      </c>
    </row>
    <row r="10" spans="2:11" x14ac:dyDescent="0.45">
      <c r="B10" s="9"/>
    </row>
    <row r="11" spans="2:11" x14ac:dyDescent="0.45">
      <c r="C11" s="239" t="s">
        <v>2</v>
      </c>
      <c r="D11" s="239"/>
      <c r="E11" s="239"/>
      <c r="F11" s="239" t="s">
        <v>3</v>
      </c>
      <c r="G11" s="239"/>
      <c r="H11" s="239"/>
    </row>
    <row r="12" spans="2:11" x14ac:dyDescent="0.45">
      <c r="B12" s="6" t="s">
        <v>4</v>
      </c>
      <c r="C12" s="6">
        <v>0.01</v>
      </c>
      <c r="D12" s="6">
        <v>2.5000000000000001E-2</v>
      </c>
      <c r="E12" s="6">
        <v>0.05</v>
      </c>
      <c r="F12" s="6">
        <v>0.05</v>
      </c>
      <c r="G12" s="6">
        <v>2.5000000000000001E-2</v>
      </c>
      <c r="H12" s="6">
        <v>0.01</v>
      </c>
    </row>
    <row r="13" spans="2:11" x14ac:dyDescent="0.45">
      <c r="B13" s="4">
        <v>1</v>
      </c>
      <c r="C13" s="154">
        <f>_xlfn.CHISQ.INV.RT(1-C$12,$B13)</f>
        <v>1.5708785790970227E-4</v>
      </c>
      <c r="D13" s="154">
        <f t="shared" ref="D13:E28" si="0">_xlfn.CHISQ.INV.RT(1-D$12,$B13)</f>
        <v>9.8206911717525812E-4</v>
      </c>
      <c r="E13" s="155">
        <f t="shared" si="0"/>
        <v>3.9321400000195293E-3</v>
      </c>
      <c r="F13" s="159">
        <f t="shared" ref="F13:H28" si="1">_xlfn.CHISQ.INV.RT(F$12,$B13)</f>
        <v>3.8414588206941236</v>
      </c>
      <c r="G13" s="156">
        <f t="shared" si="1"/>
        <v>5.0238861873148863</v>
      </c>
      <c r="H13" s="156">
        <f t="shared" si="1"/>
        <v>6.6348966010212118</v>
      </c>
    </row>
    <row r="14" spans="2:11" x14ac:dyDescent="0.45">
      <c r="B14" s="4">
        <v>2</v>
      </c>
      <c r="C14" s="155">
        <f t="shared" ref="C14:E45" si="2">_xlfn.CHISQ.INV.RT(1-C$12,$B14)</f>
        <v>2.0100671707002901E-2</v>
      </c>
      <c r="D14" s="155">
        <f t="shared" si="0"/>
        <v>5.0635615968579795E-2</v>
      </c>
      <c r="E14" s="156">
        <f t="shared" si="0"/>
        <v>0.10258658877510116</v>
      </c>
      <c r="F14" s="156">
        <f t="shared" si="1"/>
        <v>5.9914645471079817</v>
      </c>
      <c r="G14" s="156">
        <f t="shared" si="1"/>
        <v>7.3777589082278725</v>
      </c>
      <c r="H14" s="156">
        <f t="shared" si="1"/>
        <v>9.2103403719761818</v>
      </c>
    </row>
    <row r="15" spans="2:11" x14ac:dyDescent="0.45">
      <c r="B15" s="4">
        <v>3</v>
      </c>
      <c r="C15" s="156">
        <f t="shared" si="2"/>
        <v>0.11483180189911682</v>
      </c>
      <c r="D15" s="156">
        <f t="shared" si="0"/>
        <v>0.2157952826238981</v>
      </c>
      <c r="E15" s="156">
        <f t="shared" si="0"/>
        <v>0.35184631774927172</v>
      </c>
      <c r="F15" s="156">
        <f t="shared" si="1"/>
        <v>7.8147279032511792</v>
      </c>
      <c r="G15" s="156">
        <f t="shared" si="1"/>
        <v>9.3484036044961485</v>
      </c>
      <c r="H15" s="156">
        <f t="shared" si="1"/>
        <v>11.344866730144371</v>
      </c>
    </row>
    <row r="16" spans="2:11" x14ac:dyDescent="0.45">
      <c r="B16" s="4">
        <v>4</v>
      </c>
      <c r="C16" s="156">
        <f t="shared" si="2"/>
        <v>0.29710948050653158</v>
      </c>
      <c r="D16" s="156">
        <f t="shared" si="0"/>
        <v>0.4844185570879303</v>
      </c>
      <c r="E16" s="156">
        <f t="shared" si="0"/>
        <v>0.71072302139732446</v>
      </c>
      <c r="F16" s="156">
        <f t="shared" si="1"/>
        <v>9.4877290367811575</v>
      </c>
      <c r="G16" s="156">
        <f t="shared" si="1"/>
        <v>11.143286781877798</v>
      </c>
      <c r="H16" s="156">
        <f t="shared" si="1"/>
        <v>13.276704135987623</v>
      </c>
    </row>
    <row r="17" spans="2:8" x14ac:dyDescent="0.45">
      <c r="B17" s="4">
        <v>5</v>
      </c>
      <c r="C17" s="156">
        <f t="shared" si="2"/>
        <v>0.55429807672827713</v>
      </c>
      <c r="D17" s="156">
        <f t="shared" si="0"/>
        <v>0.83121161348666384</v>
      </c>
      <c r="E17" s="156">
        <f t="shared" si="0"/>
        <v>1.1454762260617699</v>
      </c>
      <c r="F17" s="156">
        <f t="shared" si="1"/>
        <v>11.070497693516353</v>
      </c>
      <c r="G17" s="156">
        <f t="shared" si="1"/>
        <v>12.832501994030029</v>
      </c>
      <c r="H17" s="156">
        <f t="shared" si="1"/>
        <v>15.086272469388991</v>
      </c>
    </row>
    <row r="18" spans="2:8" x14ac:dyDescent="0.45">
      <c r="B18" s="4">
        <v>6</v>
      </c>
      <c r="C18" s="156">
        <f t="shared" si="2"/>
        <v>0.87209033015658521</v>
      </c>
      <c r="D18" s="156">
        <f t="shared" si="0"/>
        <v>1.2373442457912045</v>
      </c>
      <c r="E18" s="156">
        <f t="shared" si="0"/>
        <v>1.6353828943279067</v>
      </c>
      <c r="F18" s="156">
        <f t="shared" si="1"/>
        <v>12.591587243743978</v>
      </c>
      <c r="G18" s="156">
        <f t="shared" si="1"/>
        <v>14.449375335447922</v>
      </c>
      <c r="H18" s="156">
        <f t="shared" si="1"/>
        <v>16.811893829770931</v>
      </c>
    </row>
    <row r="19" spans="2:8" x14ac:dyDescent="0.45">
      <c r="B19" s="4">
        <v>7</v>
      </c>
      <c r="C19" s="156">
        <f t="shared" si="2"/>
        <v>1.2390423055679303</v>
      </c>
      <c r="D19" s="156">
        <f t="shared" si="0"/>
        <v>1.6898691806773543</v>
      </c>
      <c r="E19" s="156">
        <f t="shared" si="0"/>
        <v>2.167349909298057</v>
      </c>
      <c r="F19" s="156">
        <f t="shared" si="1"/>
        <v>14.067140449340167</v>
      </c>
      <c r="G19" s="156">
        <f t="shared" si="1"/>
        <v>16.012764274629326</v>
      </c>
      <c r="H19" s="156">
        <f t="shared" si="1"/>
        <v>18.475306906582361</v>
      </c>
    </row>
    <row r="20" spans="2:8" x14ac:dyDescent="0.45">
      <c r="B20" s="4">
        <v>8</v>
      </c>
      <c r="C20" s="156">
        <f t="shared" si="2"/>
        <v>1.6464973726907688</v>
      </c>
      <c r="D20" s="156">
        <f t="shared" si="0"/>
        <v>2.1797307472526506</v>
      </c>
      <c r="E20" s="156">
        <f t="shared" si="0"/>
        <v>2.7326367934996632</v>
      </c>
      <c r="F20" s="156">
        <f t="shared" si="1"/>
        <v>15.507313055865453</v>
      </c>
      <c r="G20" s="156">
        <f t="shared" si="1"/>
        <v>17.53454613948465</v>
      </c>
      <c r="H20" s="156">
        <f t="shared" si="1"/>
        <v>20.090235029663233</v>
      </c>
    </row>
    <row r="21" spans="2:8" x14ac:dyDescent="0.45">
      <c r="B21" s="4">
        <v>9</v>
      </c>
      <c r="C21" s="156">
        <f t="shared" si="2"/>
        <v>2.0879007358707233</v>
      </c>
      <c r="D21" s="156">
        <f t="shared" si="0"/>
        <v>2.7003894999803584</v>
      </c>
      <c r="E21" s="156">
        <f t="shared" si="0"/>
        <v>3.3251128430668162</v>
      </c>
      <c r="F21" s="156">
        <f t="shared" si="1"/>
        <v>16.918977604620451</v>
      </c>
      <c r="G21" s="156">
        <f t="shared" si="1"/>
        <v>19.022767798641635</v>
      </c>
      <c r="H21" s="156">
        <f t="shared" si="1"/>
        <v>21.665994333461931</v>
      </c>
    </row>
    <row r="22" spans="2:8" x14ac:dyDescent="0.45">
      <c r="B22" s="4">
        <v>10</v>
      </c>
      <c r="C22" s="156">
        <f t="shared" si="2"/>
        <v>2.5582121601872081</v>
      </c>
      <c r="D22" s="156">
        <f t="shared" si="0"/>
        <v>3.2469727802368396</v>
      </c>
      <c r="E22" s="156">
        <f t="shared" si="0"/>
        <v>3.9402991361190622</v>
      </c>
      <c r="F22" s="156">
        <f t="shared" si="1"/>
        <v>18.307038053275146</v>
      </c>
      <c r="G22" s="156">
        <f t="shared" si="1"/>
        <v>20.483177350807395</v>
      </c>
      <c r="H22" s="156">
        <f t="shared" si="1"/>
        <v>23.209251158954359</v>
      </c>
    </row>
    <row r="23" spans="2:8" x14ac:dyDescent="0.45">
      <c r="B23" s="4">
        <v>11</v>
      </c>
      <c r="C23" s="156">
        <f t="shared" si="2"/>
        <v>3.0534841066406813</v>
      </c>
      <c r="D23" s="156">
        <f t="shared" si="0"/>
        <v>3.8157482522361006</v>
      </c>
      <c r="E23" s="156">
        <f t="shared" si="0"/>
        <v>4.5748130793222259</v>
      </c>
      <c r="F23" s="156">
        <f t="shared" si="1"/>
        <v>19.675137572682498</v>
      </c>
      <c r="G23" s="156">
        <f t="shared" si="1"/>
        <v>21.920049261021205</v>
      </c>
      <c r="H23" s="156">
        <f t="shared" si="1"/>
        <v>24.724970311318284</v>
      </c>
    </row>
    <row r="24" spans="2:8" x14ac:dyDescent="0.45">
      <c r="B24" s="4">
        <v>12</v>
      </c>
      <c r="C24" s="156">
        <f t="shared" si="2"/>
        <v>3.5705689706043899</v>
      </c>
      <c r="D24" s="156">
        <f t="shared" si="0"/>
        <v>4.4037885069817033</v>
      </c>
      <c r="E24" s="156">
        <f t="shared" si="0"/>
        <v>5.2260294883926397</v>
      </c>
      <c r="F24" s="156">
        <f t="shared" si="1"/>
        <v>21.026069817483066</v>
      </c>
      <c r="G24" s="156">
        <f t="shared" si="1"/>
        <v>23.336664158645338</v>
      </c>
      <c r="H24" s="156">
        <f t="shared" si="1"/>
        <v>26.216967305535849</v>
      </c>
    </row>
    <row r="25" spans="2:8" x14ac:dyDescent="0.45">
      <c r="B25" s="4">
        <v>13</v>
      </c>
      <c r="C25" s="156">
        <f t="shared" si="2"/>
        <v>4.1069154715044069</v>
      </c>
      <c r="D25" s="156">
        <f t="shared" si="0"/>
        <v>5.0087505118103319</v>
      </c>
      <c r="E25" s="156">
        <f t="shared" si="0"/>
        <v>5.8918643377098476</v>
      </c>
      <c r="F25" s="156">
        <f t="shared" si="1"/>
        <v>22.362032494826938</v>
      </c>
      <c r="G25" s="156">
        <f t="shared" si="1"/>
        <v>24.73560488493154</v>
      </c>
      <c r="H25" s="156">
        <f t="shared" si="1"/>
        <v>27.688249610457049</v>
      </c>
    </row>
    <row r="26" spans="2:8" x14ac:dyDescent="0.45">
      <c r="B26" s="4">
        <v>14</v>
      </c>
      <c r="C26" s="156">
        <f t="shared" si="2"/>
        <v>4.6604250626577679</v>
      </c>
      <c r="D26" s="156">
        <f t="shared" si="0"/>
        <v>5.6287261030397318</v>
      </c>
      <c r="E26" s="156">
        <f t="shared" si="0"/>
        <v>6.5706313837893431</v>
      </c>
      <c r="F26" s="156">
        <f t="shared" si="1"/>
        <v>23.68479130484058</v>
      </c>
      <c r="G26" s="156">
        <f t="shared" si="1"/>
        <v>26.118948045037371</v>
      </c>
      <c r="H26" s="156">
        <f t="shared" si="1"/>
        <v>29.141237740672796</v>
      </c>
    </row>
    <row r="27" spans="2:8" x14ac:dyDescent="0.45">
      <c r="B27" s="4">
        <v>15</v>
      </c>
      <c r="C27" s="156">
        <f t="shared" si="2"/>
        <v>5.2293488840989664</v>
      </c>
      <c r="D27" s="156">
        <f t="shared" si="0"/>
        <v>6.26213779504325</v>
      </c>
      <c r="E27" s="156">
        <f t="shared" si="0"/>
        <v>7.2609439276700334</v>
      </c>
      <c r="F27" s="156">
        <f t="shared" si="1"/>
        <v>24.99579013972863</v>
      </c>
      <c r="G27" s="156">
        <f t="shared" si="1"/>
        <v>27.488392863442982</v>
      </c>
      <c r="H27" s="156">
        <f t="shared" si="1"/>
        <v>30.577914166892494</v>
      </c>
    </row>
    <row r="28" spans="2:8" x14ac:dyDescent="0.45">
      <c r="B28" s="4">
        <v>16</v>
      </c>
      <c r="C28" s="156">
        <f t="shared" si="2"/>
        <v>5.8122124701349733</v>
      </c>
      <c r="D28" s="156">
        <f t="shared" si="0"/>
        <v>6.9076643534970019</v>
      </c>
      <c r="E28" s="156">
        <f t="shared" si="0"/>
        <v>7.9616455723785533</v>
      </c>
      <c r="F28" s="156">
        <f t="shared" si="1"/>
        <v>26.296227604864239</v>
      </c>
      <c r="G28" s="156">
        <f t="shared" si="1"/>
        <v>28.84535072340476</v>
      </c>
      <c r="H28" s="156">
        <f t="shared" si="1"/>
        <v>31.999926908815183</v>
      </c>
    </row>
    <row r="29" spans="2:8" x14ac:dyDescent="0.45">
      <c r="B29" s="4">
        <v>17</v>
      </c>
      <c r="C29" s="156">
        <f t="shared" si="2"/>
        <v>6.4077597777389341</v>
      </c>
      <c r="D29" s="156">
        <f t="shared" si="2"/>
        <v>7.5641864495775692</v>
      </c>
      <c r="E29" s="156">
        <f t="shared" si="2"/>
        <v>8.671760204670079</v>
      </c>
      <c r="F29" s="156">
        <f t="shared" ref="F29:H45" si="3">_xlfn.CHISQ.INV.RT(F$12,$B29)</f>
        <v>27.587111638275324</v>
      </c>
      <c r="G29" s="156">
        <f t="shared" si="3"/>
        <v>30.191009121639812</v>
      </c>
      <c r="H29" s="156">
        <f t="shared" si="3"/>
        <v>33.408663605004612</v>
      </c>
    </row>
    <row r="30" spans="2:8" x14ac:dyDescent="0.45">
      <c r="B30" s="4">
        <v>18</v>
      </c>
      <c r="C30" s="156">
        <f t="shared" si="2"/>
        <v>7.0149109011725761</v>
      </c>
      <c r="D30" s="156">
        <f t="shared" si="2"/>
        <v>8.2307461947566694</v>
      </c>
      <c r="E30" s="156">
        <f t="shared" si="2"/>
        <v>9.3904550806889837</v>
      </c>
      <c r="F30" s="156">
        <f t="shared" si="3"/>
        <v>28.869299430392633</v>
      </c>
      <c r="G30" s="156">
        <f t="shared" si="3"/>
        <v>31.52637844038663</v>
      </c>
      <c r="H30" s="156">
        <f t="shared" si="3"/>
        <v>34.805305734705072</v>
      </c>
    </row>
    <row r="31" spans="2:8" x14ac:dyDescent="0.45">
      <c r="B31" s="4">
        <v>19</v>
      </c>
      <c r="C31" s="156">
        <f t="shared" si="2"/>
        <v>7.6327296475714759</v>
      </c>
      <c r="D31" s="156">
        <f t="shared" si="2"/>
        <v>8.9065164819879747</v>
      </c>
      <c r="E31" s="156">
        <f t="shared" si="2"/>
        <v>10.117013063859044</v>
      </c>
      <c r="F31" s="156">
        <f t="shared" si="3"/>
        <v>30.143527205646155</v>
      </c>
      <c r="G31" s="156">
        <f t="shared" si="3"/>
        <v>32.852326861729708</v>
      </c>
      <c r="H31" s="156">
        <f t="shared" si="3"/>
        <v>36.190869129270048</v>
      </c>
    </row>
    <row r="32" spans="2:8" x14ac:dyDescent="0.45">
      <c r="B32" s="4">
        <v>20</v>
      </c>
      <c r="C32" s="156">
        <f t="shared" si="2"/>
        <v>8.2603983325464014</v>
      </c>
      <c r="D32" s="156">
        <f t="shared" si="2"/>
        <v>9.5907773922648669</v>
      </c>
      <c r="E32" s="156">
        <f t="shared" si="2"/>
        <v>10.850811394182585</v>
      </c>
      <c r="F32" s="156">
        <f t="shared" si="3"/>
        <v>31.410432844230925</v>
      </c>
      <c r="G32" s="156">
        <f t="shared" si="3"/>
        <v>34.169606902838339</v>
      </c>
      <c r="H32" s="156">
        <f t="shared" si="3"/>
        <v>37.566234786625053</v>
      </c>
    </row>
    <row r="33" spans="2:8" x14ac:dyDescent="0.45">
      <c r="B33" s="4">
        <v>21</v>
      </c>
      <c r="C33" s="156">
        <f t="shared" si="2"/>
        <v>8.89719794207722</v>
      </c>
      <c r="D33" s="156">
        <f t="shared" si="2"/>
        <v>10.282897782522859</v>
      </c>
      <c r="E33" s="156">
        <f t="shared" si="2"/>
        <v>11.591305208820739</v>
      </c>
      <c r="F33" s="156">
        <f t="shared" si="3"/>
        <v>32.670573340917308</v>
      </c>
      <c r="G33" s="156">
        <f t="shared" si="3"/>
        <v>35.478875905727257</v>
      </c>
      <c r="H33" s="156">
        <f t="shared" si="3"/>
        <v>38.932172683516065</v>
      </c>
    </row>
    <row r="34" spans="2:8" x14ac:dyDescent="0.45">
      <c r="B34" s="4">
        <v>22</v>
      </c>
      <c r="C34" s="156">
        <f t="shared" si="2"/>
        <v>9.5424923387850811</v>
      </c>
      <c r="D34" s="156">
        <f t="shared" si="2"/>
        <v>10.982320734473676</v>
      </c>
      <c r="E34" s="156">
        <f t="shared" si="2"/>
        <v>12.338014578790647</v>
      </c>
      <c r="F34" s="156">
        <f t="shared" si="3"/>
        <v>33.9244384714438</v>
      </c>
      <c r="G34" s="156">
        <f t="shared" si="3"/>
        <v>36.780712084035557</v>
      </c>
      <c r="H34" s="156">
        <f t="shared" si="3"/>
        <v>40.289360437593864</v>
      </c>
    </row>
    <row r="35" spans="2:8" x14ac:dyDescent="0.45">
      <c r="B35" s="4">
        <v>23</v>
      </c>
      <c r="C35" s="156">
        <f t="shared" si="2"/>
        <v>10.195715555745821</v>
      </c>
      <c r="D35" s="156">
        <f t="shared" si="2"/>
        <v>11.688551922452435</v>
      </c>
      <c r="E35" s="156">
        <f t="shared" si="2"/>
        <v>13.090514188172801</v>
      </c>
      <c r="F35" s="156">
        <f t="shared" si="3"/>
        <v>35.172461626908053</v>
      </c>
      <c r="G35" s="156">
        <f t="shared" si="3"/>
        <v>38.075627250355801</v>
      </c>
      <c r="H35" s="156">
        <f t="shared" si="3"/>
        <v>41.638398118858476</v>
      </c>
    </row>
    <row r="36" spans="2:8" x14ac:dyDescent="0.45">
      <c r="B36" s="4">
        <v>24</v>
      </c>
      <c r="C36" s="156">
        <f t="shared" si="2"/>
        <v>10.856361475532282</v>
      </c>
      <c r="D36" s="156">
        <f t="shared" si="2"/>
        <v>12.401150217444435</v>
      </c>
      <c r="E36" s="156">
        <f t="shared" si="2"/>
        <v>13.848425027170213</v>
      </c>
      <c r="F36" s="156">
        <f t="shared" si="3"/>
        <v>36.415028501807313</v>
      </c>
      <c r="G36" s="156">
        <f t="shared" si="3"/>
        <v>39.364077026603915</v>
      </c>
      <c r="H36" s="156">
        <f t="shared" si="3"/>
        <v>42.979820139351638</v>
      </c>
    </row>
    <row r="37" spans="2:8" x14ac:dyDescent="0.45">
      <c r="B37" s="4">
        <v>25</v>
      </c>
      <c r="C37" s="156">
        <f t="shared" si="2"/>
        <v>11.52397537224933</v>
      </c>
      <c r="D37" s="156">
        <f t="shared" si="2"/>
        <v>13.119720024937791</v>
      </c>
      <c r="E37" s="156">
        <f t="shared" si="2"/>
        <v>14.611407639483309</v>
      </c>
      <c r="F37" s="156">
        <f t="shared" si="3"/>
        <v>37.65248413348278</v>
      </c>
      <c r="G37" s="156">
        <f t="shared" si="3"/>
        <v>40.646469120275199</v>
      </c>
      <c r="H37" s="156">
        <f t="shared" si="3"/>
        <v>44.314104896219156</v>
      </c>
    </row>
    <row r="38" spans="2:8" x14ac:dyDescent="0.45">
      <c r="B38" s="4">
        <v>26</v>
      </c>
      <c r="C38" s="156">
        <f t="shared" si="2"/>
        <v>12.198146923505595</v>
      </c>
      <c r="D38" s="156">
        <f t="shared" si="2"/>
        <v>13.843904982007606</v>
      </c>
      <c r="E38" s="156">
        <f t="shared" si="2"/>
        <v>15.379156583261738</v>
      </c>
      <c r="F38" s="156">
        <f t="shared" si="3"/>
        <v>38.885138659830041</v>
      </c>
      <c r="G38" s="156">
        <f t="shared" si="3"/>
        <v>41.923170096353914</v>
      </c>
      <c r="H38" s="156">
        <f t="shared" si="3"/>
        <v>45.641682666283153</v>
      </c>
    </row>
    <row r="39" spans="2:8" x14ac:dyDescent="0.45">
      <c r="B39" s="4">
        <v>27</v>
      </c>
      <c r="C39" s="156">
        <f t="shared" si="2"/>
        <v>12.878504393144546</v>
      </c>
      <c r="D39" s="156">
        <f t="shared" si="2"/>
        <v>14.573382730821709</v>
      </c>
      <c r="E39" s="156">
        <f t="shared" si="2"/>
        <v>16.151395849664109</v>
      </c>
      <c r="F39" s="156">
        <f t="shared" si="3"/>
        <v>40.113272069413625</v>
      </c>
      <c r="G39" s="156">
        <f t="shared" si="3"/>
        <v>43.194510966156031</v>
      </c>
      <c r="H39" s="156">
        <f t="shared" si="3"/>
        <v>46.962942124751443</v>
      </c>
    </row>
    <row r="40" spans="2:8" x14ac:dyDescent="0.45">
      <c r="B40" s="4">
        <v>28</v>
      </c>
      <c r="C40" s="156">
        <f t="shared" si="2"/>
        <v>13.564709754618823</v>
      </c>
      <c r="D40" s="156">
        <f t="shared" si="2"/>
        <v>15.307860552601202</v>
      </c>
      <c r="E40" s="156">
        <f t="shared" si="2"/>
        <v>16.927875044422496</v>
      </c>
      <c r="F40" s="156">
        <f t="shared" si="3"/>
        <v>41.337138151427396</v>
      </c>
      <c r="G40" s="156">
        <f t="shared" si="3"/>
        <v>44.460791836317753</v>
      </c>
      <c r="H40" s="156">
        <f t="shared" si="3"/>
        <v>48.27823577031549</v>
      </c>
    </row>
    <row r="41" spans="2:8" x14ac:dyDescent="0.45">
      <c r="B41" s="4">
        <v>29</v>
      </c>
      <c r="C41" s="156">
        <f t="shared" si="2"/>
        <v>14.256454576274677</v>
      </c>
      <c r="D41" s="156">
        <f t="shared" si="2"/>
        <v>16.047071695364892</v>
      </c>
      <c r="E41" s="156">
        <f t="shared" si="2"/>
        <v>17.708366182824584</v>
      </c>
      <c r="F41" s="156">
        <f t="shared" si="3"/>
        <v>42.556967804292682</v>
      </c>
      <c r="G41" s="156">
        <f t="shared" si="3"/>
        <v>45.722285804174533</v>
      </c>
      <c r="H41" s="156">
        <f t="shared" si="3"/>
        <v>49.587884472898835</v>
      </c>
    </row>
    <row r="42" spans="2:8" x14ac:dyDescent="0.45">
      <c r="B42" s="7">
        <v>30</v>
      </c>
      <c r="C42" s="157">
        <f t="shared" si="2"/>
        <v>14.953456528455439</v>
      </c>
      <c r="D42" s="157">
        <f t="shared" si="2"/>
        <v>16.790772265566623</v>
      </c>
      <c r="E42" s="157">
        <f t="shared" si="2"/>
        <v>18.492660981953474</v>
      </c>
      <c r="F42" s="157">
        <f t="shared" si="3"/>
        <v>43.772971825742189</v>
      </c>
      <c r="G42" s="157">
        <f t="shared" si="3"/>
        <v>46.979242243671159</v>
      </c>
      <c r="H42" s="157">
        <f t="shared" si="3"/>
        <v>50.892181311517092</v>
      </c>
    </row>
    <row r="43" spans="2:8" x14ac:dyDescent="0.45">
      <c r="B43" s="4">
        <v>40</v>
      </c>
      <c r="C43" s="157">
        <f t="shared" si="2"/>
        <v>22.164261252975162</v>
      </c>
      <c r="D43" s="157">
        <f t="shared" si="2"/>
        <v>24.433039170807891</v>
      </c>
      <c r="E43" s="157">
        <f t="shared" si="2"/>
        <v>26.509303196693111</v>
      </c>
      <c r="F43" s="157">
        <f t="shared" si="3"/>
        <v>55.75847927888703</v>
      </c>
      <c r="G43" s="157">
        <f t="shared" si="3"/>
        <v>59.341707143171199</v>
      </c>
      <c r="H43" s="157">
        <f t="shared" si="3"/>
        <v>63.690739751564458</v>
      </c>
    </row>
    <row r="44" spans="2:8" x14ac:dyDescent="0.45">
      <c r="B44" s="4">
        <v>50</v>
      </c>
      <c r="C44" s="157">
        <f t="shared" si="2"/>
        <v>29.706682698841298</v>
      </c>
      <c r="D44" s="157">
        <f t="shared" si="2"/>
        <v>32.357363695658648</v>
      </c>
      <c r="E44" s="157">
        <f t="shared" si="2"/>
        <v>34.764251683501755</v>
      </c>
      <c r="F44" s="157">
        <f t="shared" si="3"/>
        <v>67.504806549541186</v>
      </c>
      <c r="G44" s="157">
        <f t="shared" si="3"/>
        <v>71.420195187506408</v>
      </c>
      <c r="H44" s="157">
        <f t="shared" si="3"/>
        <v>76.15389124901273</v>
      </c>
    </row>
    <row r="45" spans="2:8" x14ac:dyDescent="0.45">
      <c r="B45" s="6">
        <v>100</v>
      </c>
      <c r="C45" s="158">
        <f t="shared" si="2"/>
        <v>70.064894925399784</v>
      </c>
      <c r="D45" s="158">
        <f t="shared" si="2"/>
        <v>74.221927474923731</v>
      </c>
      <c r="E45" s="158">
        <f t="shared" si="2"/>
        <v>77.929465165017277</v>
      </c>
      <c r="F45" s="158">
        <f t="shared" si="3"/>
        <v>124.34211340400408</v>
      </c>
      <c r="G45" s="158">
        <f t="shared" si="3"/>
        <v>129.56119718583659</v>
      </c>
      <c r="H45" s="158">
        <f t="shared" si="3"/>
        <v>135.80672317102679</v>
      </c>
    </row>
  </sheetData>
  <mergeCells count="6">
    <mergeCell ref="J2:K5"/>
    <mergeCell ref="C11:E11"/>
    <mergeCell ref="F11:H11"/>
    <mergeCell ref="B8:E8"/>
    <mergeCell ref="B7:E7"/>
    <mergeCell ref="B2:E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workbookViewId="0">
      <selection activeCell="G11" sqref="G11"/>
    </sheetView>
  </sheetViews>
  <sheetFormatPr defaultRowHeight="19.5" x14ac:dyDescent="0.45"/>
  <cols>
    <col min="1" max="1" width="20.19921875" customWidth="1"/>
    <col min="2" max="2" width="13.8984375" style="19" customWidth="1"/>
    <col min="3" max="3" width="14.59765625" style="53" customWidth="1"/>
    <col min="4" max="4" width="37.296875" style="49" customWidth="1"/>
  </cols>
  <sheetData>
    <row r="2" spans="1:4" x14ac:dyDescent="0.45">
      <c r="B2" s="232" t="s">
        <v>273</v>
      </c>
      <c r="C2" s="233"/>
      <c r="D2" s="233"/>
    </row>
    <row r="3" spans="1:4" x14ac:dyDescent="0.45">
      <c r="B3" s="233"/>
      <c r="C3" s="233"/>
      <c r="D3" s="233"/>
    </row>
    <row r="6" spans="1:4" x14ac:dyDescent="0.45">
      <c r="B6" s="234" t="s">
        <v>58</v>
      </c>
      <c r="C6" s="52">
        <v>120</v>
      </c>
    </row>
    <row r="7" spans="1:4" x14ac:dyDescent="0.45">
      <c r="B7" s="234"/>
      <c r="C7" s="52">
        <v>130</v>
      </c>
    </row>
    <row r="9" spans="1:4" x14ac:dyDescent="0.45">
      <c r="A9" s="240" t="s">
        <v>63</v>
      </c>
      <c r="B9" s="20" t="s">
        <v>59</v>
      </c>
      <c r="C9" s="56">
        <f>_xlfn.CHISQ.INV.RT(0.975,1)</f>
        <v>9.8206911717525812E-4</v>
      </c>
      <c r="D9" s="51" t="s">
        <v>61</v>
      </c>
    </row>
    <row r="10" spans="1:4" x14ac:dyDescent="0.45">
      <c r="A10" s="241"/>
      <c r="B10" s="20" t="s">
        <v>60</v>
      </c>
      <c r="C10" s="57">
        <f>_xlfn.CHISQ.INV.RT(0.025,1)</f>
        <v>5.0238861873148863</v>
      </c>
      <c r="D10" s="51" t="s">
        <v>62</v>
      </c>
    </row>
    <row r="13" spans="1:4" x14ac:dyDescent="0.45">
      <c r="A13" s="234" t="s">
        <v>64</v>
      </c>
      <c r="B13" s="20" t="s">
        <v>56</v>
      </c>
      <c r="C13" s="54">
        <f>DEVSQ(C6:C7)/_xlfn.CHISQ.INV.RT(0.025,1)</f>
        <v>9.9524547602706495</v>
      </c>
      <c r="D13" s="51" t="s">
        <v>137</v>
      </c>
    </row>
    <row r="14" spans="1:4" x14ac:dyDescent="0.45">
      <c r="A14" s="234"/>
      <c r="B14" s="20" t="s">
        <v>57</v>
      </c>
      <c r="C14" s="55">
        <f>DEVSQ(C6:C7)/_xlfn.CHISQ.INV.RT(0.975,1)</f>
        <v>50912.913485983387</v>
      </c>
      <c r="D14" s="51" t="s">
        <v>138</v>
      </c>
    </row>
  </sheetData>
  <mergeCells count="4">
    <mergeCell ref="B6:B7"/>
    <mergeCell ref="B2:D3"/>
    <mergeCell ref="A9:A10"/>
    <mergeCell ref="A13:A14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6"/>
  <sheetViews>
    <sheetView topLeftCell="E1" workbookViewId="0">
      <selection activeCell="E1" sqref="E1"/>
    </sheetView>
  </sheetViews>
  <sheetFormatPr defaultRowHeight="19.5" x14ac:dyDescent="0.45"/>
  <cols>
    <col min="3" max="3" width="12.8984375" bestFit="1" customWidth="1"/>
    <col min="8" max="8" width="12.69921875" bestFit="1" customWidth="1"/>
    <col min="9" max="9" width="12.69921875" style="120" bestFit="1" customWidth="1"/>
    <col min="10" max="10" width="12.69921875" bestFit="1" customWidth="1"/>
  </cols>
  <sheetData>
    <row r="2" spans="2:11" x14ac:dyDescent="0.45">
      <c r="B2" t="s">
        <v>84</v>
      </c>
      <c r="C2" t="s">
        <v>85</v>
      </c>
      <c r="F2" s="232" t="s">
        <v>231</v>
      </c>
      <c r="G2" s="233"/>
      <c r="H2" s="233"/>
      <c r="I2" s="233"/>
    </row>
    <row r="3" spans="2:11" x14ac:dyDescent="0.45">
      <c r="F3" s="233"/>
      <c r="G3" s="233"/>
      <c r="H3" s="233"/>
      <c r="I3" s="233"/>
    </row>
    <row r="4" spans="2:11" x14ac:dyDescent="0.45">
      <c r="F4" s="233"/>
      <c r="G4" s="233"/>
      <c r="H4" s="233"/>
      <c r="I4" s="233"/>
    </row>
    <row r="5" spans="2:11" x14ac:dyDescent="0.45">
      <c r="F5" s="233"/>
      <c r="G5" s="233"/>
      <c r="H5" s="233"/>
      <c r="I5" s="233"/>
    </row>
    <row r="6" spans="2:11" x14ac:dyDescent="0.45">
      <c r="B6">
        <v>0</v>
      </c>
      <c r="C6">
        <f>COMBIN(20,B6)*(1/2)^20</f>
        <v>9.5367431640625E-7</v>
      </c>
      <c r="D6">
        <f>SUM($C$6:C6)</f>
        <v>9.5367431640625E-7</v>
      </c>
    </row>
    <row r="8" spans="2:11" x14ac:dyDescent="0.45">
      <c r="F8" s="192"/>
      <c r="J8" s="120"/>
    </row>
    <row r="9" spans="2:11" x14ac:dyDescent="0.45">
      <c r="G9" s="121" t="s">
        <v>232</v>
      </c>
      <c r="H9" s="121"/>
      <c r="I9" s="121" t="s">
        <v>186</v>
      </c>
      <c r="J9" s="121" t="s">
        <v>187</v>
      </c>
    </row>
    <row r="10" spans="2:11" ht="19.149999999999999" customHeight="1" x14ac:dyDescent="0.45">
      <c r="G10" s="120">
        <v>0</v>
      </c>
      <c r="H10" s="160">
        <f>COMBIN(20,G10)*(1/2)^20</f>
        <v>9.5367431640625E-7</v>
      </c>
      <c r="I10" s="80">
        <f>SUM($H$10:H10)</f>
        <v>9.5367431640625E-7</v>
      </c>
      <c r="J10" s="201">
        <f>I10*2</f>
        <v>1.9073486328125E-6</v>
      </c>
      <c r="K10" s="242" t="s">
        <v>233</v>
      </c>
    </row>
    <row r="11" spans="2:11" x14ac:dyDescent="0.45">
      <c r="G11" s="120">
        <v>1</v>
      </c>
      <c r="H11" s="160">
        <f t="shared" ref="H11:H29" si="0">COMBIN(20,G11)*(1/2)^20</f>
        <v>1.9073486328125E-5</v>
      </c>
      <c r="I11" s="80">
        <f>SUM($H$10:H11)</f>
        <v>2.002716064453125E-5</v>
      </c>
      <c r="J11" s="201">
        <f t="shared" ref="J11:J30" si="1">I11*2</f>
        <v>4.00543212890625E-5</v>
      </c>
      <c r="K11" s="242"/>
    </row>
    <row r="12" spans="2:11" x14ac:dyDescent="0.45">
      <c r="G12" s="120">
        <v>2</v>
      </c>
      <c r="H12" s="160">
        <f t="shared" si="0"/>
        <v>1.811981201171875E-4</v>
      </c>
      <c r="I12" s="80">
        <f>SUM($H$10:H12)</f>
        <v>2.0122528076171875E-4</v>
      </c>
      <c r="J12" s="201">
        <f t="shared" si="1"/>
        <v>4.024505615234375E-4</v>
      </c>
      <c r="K12" s="242"/>
    </row>
    <row r="13" spans="2:11" x14ac:dyDescent="0.45">
      <c r="G13" s="120">
        <v>3</v>
      </c>
      <c r="H13" s="160">
        <f t="shared" si="0"/>
        <v>1.087188720703125E-3</v>
      </c>
      <c r="I13" s="80">
        <f>SUM($H$10:H13)</f>
        <v>1.2884140014648438E-3</v>
      </c>
      <c r="J13" s="201">
        <f t="shared" si="1"/>
        <v>2.5768280029296875E-3</v>
      </c>
      <c r="K13" s="242"/>
    </row>
    <row r="14" spans="2:11" x14ac:dyDescent="0.45">
      <c r="G14" s="120">
        <v>4</v>
      </c>
      <c r="H14" s="160">
        <f t="shared" si="0"/>
        <v>4.6205520629882813E-3</v>
      </c>
      <c r="I14" s="80">
        <f>SUM($H$10:H14)</f>
        <v>5.908966064453125E-3</v>
      </c>
      <c r="J14" s="201">
        <f t="shared" si="1"/>
        <v>1.181793212890625E-2</v>
      </c>
      <c r="K14" s="242"/>
    </row>
    <row r="15" spans="2:11" x14ac:dyDescent="0.45">
      <c r="G15" s="120">
        <v>5</v>
      </c>
      <c r="H15" s="160">
        <f t="shared" si="0"/>
        <v>1.4785766601562498E-2</v>
      </c>
      <c r="I15" s="80">
        <f>SUM($H$10:H15)</f>
        <v>2.0694732666015625E-2</v>
      </c>
      <c r="J15" s="201">
        <f t="shared" si="1"/>
        <v>4.138946533203125E-2</v>
      </c>
      <c r="K15" s="242"/>
    </row>
    <row r="16" spans="2:11" x14ac:dyDescent="0.45">
      <c r="G16" s="120">
        <v>6</v>
      </c>
      <c r="H16" s="160">
        <f t="shared" si="0"/>
        <v>3.696441650390625E-2</v>
      </c>
      <c r="I16" s="199">
        <f>SUM($H$10:H16)</f>
        <v>5.7659149169921875E-2</v>
      </c>
      <c r="J16" s="202">
        <f t="shared" si="1"/>
        <v>0.11531829833984375</v>
      </c>
    </row>
    <row r="17" spans="7:11" x14ac:dyDescent="0.45">
      <c r="G17" s="120">
        <v>7</v>
      </c>
      <c r="H17" s="160">
        <f t="shared" si="0"/>
        <v>7.39288330078125E-2</v>
      </c>
      <c r="I17" s="199">
        <f>SUM($H$10:H17)</f>
        <v>0.13158798217773438</v>
      </c>
      <c r="J17" s="202">
        <f t="shared" si="1"/>
        <v>0.26317596435546875</v>
      </c>
    </row>
    <row r="18" spans="7:11" x14ac:dyDescent="0.45">
      <c r="G18" s="120">
        <v>8</v>
      </c>
      <c r="H18" s="160">
        <f t="shared" si="0"/>
        <v>0.12013435363769533</v>
      </c>
      <c r="I18" s="199">
        <f>SUM($H$10:H18)</f>
        <v>0.25172233581542969</v>
      </c>
      <c r="J18" s="202">
        <f t="shared" si="1"/>
        <v>0.50344467163085938</v>
      </c>
    </row>
    <row r="19" spans="7:11" x14ac:dyDescent="0.45">
      <c r="G19" s="120">
        <v>9</v>
      </c>
      <c r="H19" s="160">
        <f t="shared" si="0"/>
        <v>0.16017913818359375</v>
      </c>
      <c r="I19" s="199">
        <f>SUM($H$10:H19)</f>
        <v>0.41190147399902344</v>
      </c>
      <c r="J19" s="202">
        <f t="shared" si="1"/>
        <v>0.82380294799804688</v>
      </c>
    </row>
    <row r="20" spans="7:11" x14ac:dyDescent="0.45">
      <c r="G20" s="120">
        <v>10</v>
      </c>
      <c r="H20" s="160">
        <f t="shared" si="0"/>
        <v>0.17619705200195313</v>
      </c>
      <c r="I20" s="199">
        <f>SUM($H$10:H20)</f>
        <v>0.58809852600097656</v>
      </c>
      <c r="J20" s="202">
        <f t="shared" si="1"/>
        <v>1.1761970520019531</v>
      </c>
    </row>
    <row r="21" spans="7:11" x14ac:dyDescent="0.45">
      <c r="G21" s="120">
        <v>11</v>
      </c>
      <c r="H21" s="160">
        <f t="shared" si="0"/>
        <v>0.16017913818359375</v>
      </c>
      <c r="I21" s="199">
        <f>SUM(H21:$H$30)</f>
        <v>0.41190147399902344</v>
      </c>
      <c r="J21" s="202">
        <f t="shared" si="1"/>
        <v>0.82380294799804688</v>
      </c>
    </row>
    <row r="22" spans="7:11" x14ac:dyDescent="0.45">
      <c r="G22" s="120">
        <v>12</v>
      </c>
      <c r="H22" s="160">
        <f t="shared" si="0"/>
        <v>0.12013435363769533</v>
      </c>
      <c r="I22" s="199">
        <f>SUM(H22:$H$30)</f>
        <v>0.25172233581542969</v>
      </c>
      <c r="J22" s="202">
        <f t="shared" si="1"/>
        <v>0.50344467163085938</v>
      </c>
    </row>
    <row r="23" spans="7:11" x14ac:dyDescent="0.45">
      <c r="G23" s="120">
        <v>13</v>
      </c>
      <c r="H23" s="160">
        <f t="shared" si="0"/>
        <v>7.39288330078125E-2</v>
      </c>
      <c r="I23" s="199">
        <f>SUM(H23:$H$30)</f>
        <v>0.13158798217773438</v>
      </c>
      <c r="J23" s="202">
        <f t="shared" si="1"/>
        <v>0.26317596435546875</v>
      </c>
    </row>
    <row r="24" spans="7:11" x14ac:dyDescent="0.45">
      <c r="G24" s="120">
        <v>14</v>
      </c>
      <c r="H24" s="160">
        <f t="shared" si="0"/>
        <v>3.696441650390625E-2</v>
      </c>
      <c r="I24" s="199">
        <f>SUM(H24:$H$30)</f>
        <v>5.7659149169921875E-2</v>
      </c>
      <c r="J24" s="202">
        <f t="shared" si="1"/>
        <v>0.11531829833984375</v>
      </c>
    </row>
    <row r="25" spans="7:11" x14ac:dyDescent="0.45">
      <c r="G25" s="120">
        <v>15</v>
      </c>
      <c r="H25" s="160">
        <f t="shared" si="0"/>
        <v>1.4785766601562498E-2</v>
      </c>
      <c r="I25" s="199">
        <f>SUM(H25:$H$30)</f>
        <v>2.0694732666015625E-2</v>
      </c>
      <c r="J25" s="203">
        <f t="shared" si="1"/>
        <v>4.138946533203125E-2</v>
      </c>
      <c r="K25" s="243" t="s">
        <v>233</v>
      </c>
    </row>
    <row r="26" spans="7:11" ht="19.149999999999999" customHeight="1" x14ac:dyDescent="0.45">
      <c r="G26" s="120">
        <v>16</v>
      </c>
      <c r="H26" s="160">
        <f t="shared" si="0"/>
        <v>4.6205520629882813E-3</v>
      </c>
      <c r="I26" s="199">
        <f>SUM(H26:$H$30)</f>
        <v>5.908966064453125E-3</v>
      </c>
      <c r="J26" s="203">
        <f t="shared" si="1"/>
        <v>1.181793212890625E-2</v>
      </c>
      <c r="K26" s="243"/>
    </row>
    <row r="27" spans="7:11" ht="19.149999999999999" customHeight="1" x14ac:dyDescent="0.45">
      <c r="G27" s="120">
        <v>17</v>
      </c>
      <c r="H27" s="160">
        <f t="shared" si="0"/>
        <v>1.087188720703125E-3</v>
      </c>
      <c r="I27" s="199">
        <f>SUM(H27:$H$30)</f>
        <v>1.2884140014648438E-3</v>
      </c>
      <c r="J27" s="203">
        <f t="shared" si="1"/>
        <v>2.5768280029296875E-3</v>
      </c>
      <c r="K27" s="243"/>
    </row>
    <row r="28" spans="7:11" x14ac:dyDescent="0.45">
      <c r="G28" s="120">
        <v>18</v>
      </c>
      <c r="H28" s="160">
        <f t="shared" si="0"/>
        <v>1.811981201171875E-4</v>
      </c>
      <c r="I28" s="199">
        <f>SUM(H28:$H$30)</f>
        <v>2.0122528076171875E-4</v>
      </c>
      <c r="J28" s="203">
        <f t="shared" si="1"/>
        <v>4.024505615234375E-4</v>
      </c>
      <c r="K28" s="243"/>
    </row>
    <row r="29" spans="7:11" x14ac:dyDescent="0.45">
      <c r="G29" s="120">
        <v>19</v>
      </c>
      <c r="H29" s="160">
        <f t="shared" si="0"/>
        <v>1.9073486328125E-5</v>
      </c>
      <c r="I29" s="199">
        <f>SUM(H29:$H$30)</f>
        <v>2.002716064453125E-5</v>
      </c>
      <c r="J29" s="203">
        <f t="shared" si="1"/>
        <v>4.00543212890625E-5</v>
      </c>
      <c r="K29" s="243"/>
    </row>
    <row r="30" spans="7:11" x14ac:dyDescent="0.45">
      <c r="G30" s="121">
        <v>20</v>
      </c>
      <c r="H30" s="161">
        <f>COMBIN(20,G30)*(1/2)^20</f>
        <v>9.5367431640625E-7</v>
      </c>
      <c r="I30" s="200">
        <f>SUM(H30:$H$30)</f>
        <v>9.5367431640625E-7</v>
      </c>
      <c r="J30" s="204">
        <f t="shared" si="1"/>
        <v>1.9073486328125E-6</v>
      </c>
      <c r="K30" s="244"/>
    </row>
    <row r="31" spans="7:11" x14ac:dyDescent="0.45">
      <c r="G31" s="120"/>
      <c r="H31" s="120"/>
    </row>
    <row r="32" spans="7:11" x14ac:dyDescent="0.45">
      <c r="G32" s="120" t="s">
        <v>184</v>
      </c>
      <c r="H32" s="123">
        <f>SUM(H10:H30)</f>
        <v>1</v>
      </c>
    </row>
    <row r="36" spans="6:8" x14ac:dyDescent="0.45">
      <c r="F36" s="234" t="s">
        <v>201</v>
      </c>
      <c r="G36" s="234"/>
      <c r="H36" s="234"/>
    </row>
  </sheetData>
  <mergeCells count="4">
    <mergeCell ref="F2:I5"/>
    <mergeCell ref="F36:H36"/>
    <mergeCell ref="K10:K15"/>
    <mergeCell ref="K25:K30"/>
  </mergeCells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9"/>
  <sheetViews>
    <sheetView workbookViewId="0">
      <selection activeCell="G3" sqref="G3:J4"/>
    </sheetView>
  </sheetViews>
  <sheetFormatPr defaultRowHeight="19.5" x14ac:dyDescent="0.45"/>
  <cols>
    <col min="2" max="2" width="8.69921875" customWidth="1"/>
    <col min="3" max="3" width="11.296875" customWidth="1"/>
    <col min="4" max="4" width="17.296875" customWidth="1"/>
  </cols>
  <sheetData>
    <row r="2" spans="2:10" x14ac:dyDescent="0.45">
      <c r="B2" s="232" t="s">
        <v>202</v>
      </c>
      <c r="C2" s="233"/>
      <c r="D2" s="233"/>
      <c r="E2" s="233"/>
      <c r="F2" s="150"/>
    </row>
    <row r="3" spans="2:10" x14ac:dyDescent="0.45">
      <c r="B3" s="233"/>
      <c r="C3" s="233"/>
      <c r="D3" s="233"/>
      <c r="E3" s="233"/>
      <c r="F3" s="150"/>
      <c r="G3" s="232" t="s">
        <v>274</v>
      </c>
      <c r="H3" s="233"/>
      <c r="I3" s="233"/>
      <c r="J3" s="233"/>
    </row>
    <row r="4" spans="2:10" x14ac:dyDescent="0.45">
      <c r="B4" s="233"/>
      <c r="C4" s="233"/>
      <c r="D4" s="233"/>
      <c r="E4" s="233"/>
      <c r="F4" s="150"/>
      <c r="G4" s="233"/>
      <c r="H4" s="233"/>
      <c r="I4" s="233"/>
      <c r="J4" s="233"/>
    </row>
    <row r="5" spans="2:10" x14ac:dyDescent="0.45">
      <c r="B5" s="233"/>
      <c r="C5" s="233"/>
      <c r="D5" s="233"/>
      <c r="E5" s="233"/>
      <c r="F5" s="150"/>
    </row>
    <row r="6" spans="2:10" x14ac:dyDescent="0.45">
      <c r="B6" s="164"/>
      <c r="C6" s="164"/>
    </row>
    <row r="7" spans="2:10" x14ac:dyDescent="0.45">
      <c r="B7" s="15" t="s">
        <v>7</v>
      </c>
      <c r="C7" s="13" t="s">
        <v>15</v>
      </c>
      <c r="D7" s="15" t="s">
        <v>13</v>
      </c>
      <c r="E7" s="1"/>
      <c r="F7" s="145"/>
    </row>
    <row r="8" spans="2:10" x14ac:dyDescent="0.45">
      <c r="B8" s="16">
        <v>0</v>
      </c>
      <c r="C8" s="109">
        <f>COMBIN(20,B8)</f>
        <v>1</v>
      </c>
      <c r="D8" s="17" t="s">
        <v>8</v>
      </c>
      <c r="E8" s="18"/>
      <c r="F8" s="18"/>
    </row>
    <row r="9" spans="2:10" x14ac:dyDescent="0.45">
      <c r="B9" s="16">
        <v>1</v>
      </c>
      <c r="C9" s="109">
        <f>COMBIN(20,B9)</f>
        <v>20</v>
      </c>
      <c r="D9" s="17" t="s">
        <v>9</v>
      </c>
      <c r="E9" s="18"/>
      <c r="F9" s="18"/>
    </row>
    <row r="10" spans="2:10" x14ac:dyDescent="0.45">
      <c r="B10" s="16">
        <v>2</v>
      </c>
      <c r="C10" s="109">
        <f>COMBIN(20,B10)</f>
        <v>190</v>
      </c>
      <c r="D10" s="17" t="s">
        <v>10</v>
      </c>
      <c r="E10" s="18"/>
      <c r="F10" s="18"/>
    </row>
    <row r="11" spans="2:10" x14ac:dyDescent="0.45">
      <c r="B11" s="16">
        <v>3</v>
      </c>
      <c r="C11" s="109">
        <f>COMBIN(20,B11)</f>
        <v>1140</v>
      </c>
      <c r="D11" s="17" t="s">
        <v>11</v>
      </c>
      <c r="E11" s="18"/>
      <c r="F11" s="18"/>
    </row>
    <row r="12" spans="2:10" x14ac:dyDescent="0.45">
      <c r="B12" s="16">
        <v>4</v>
      </c>
      <c r="C12" s="109">
        <f>COMBIN(20,B12)</f>
        <v>4845</v>
      </c>
      <c r="D12" s="17" t="s">
        <v>12</v>
      </c>
      <c r="E12" s="18"/>
      <c r="F12" s="18"/>
    </row>
    <row r="13" spans="2:10" x14ac:dyDescent="0.45">
      <c r="B13" s="15" t="s">
        <v>14</v>
      </c>
      <c r="C13" s="109">
        <f>SUM(C8:C12)</f>
        <v>6196</v>
      </c>
      <c r="D13" s="17" t="s">
        <v>165</v>
      </c>
      <c r="E13" s="18"/>
      <c r="F13" s="18"/>
    </row>
    <row r="15" spans="2:10" x14ac:dyDescent="0.45">
      <c r="B15" t="s">
        <v>86</v>
      </c>
      <c r="C15" s="230">
        <f>C13/(2^20)</f>
        <v>5.908966064453125E-3</v>
      </c>
    </row>
    <row r="17" spans="2:11" x14ac:dyDescent="0.45">
      <c r="G17" s="79"/>
      <c r="H17" s="79"/>
      <c r="I17" s="79"/>
      <c r="J17" s="79"/>
      <c r="K17" s="79"/>
    </row>
    <row r="18" spans="2:11" x14ac:dyDescent="0.45">
      <c r="B18" s="20" t="s">
        <v>89</v>
      </c>
      <c r="C18" s="76" t="s">
        <v>90</v>
      </c>
      <c r="D18" s="245" t="s">
        <v>87</v>
      </c>
      <c r="E18" s="246"/>
      <c r="F18" s="247"/>
      <c r="G18" s="79"/>
      <c r="H18" s="79"/>
      <c r="I18" s="79"/>
      <c r="J18" s="79"/>
      <c r="K18" s="79"/>
    </row>
    <row r="19" spans="2:11" x14ac:dyDescent="0.45">
      <c r="B19" s="16">
        <v>0</v>
      </c>
      <c r="C19" s="163">
        <f>COMBIN(20,B19)</f>
        <v>1</v>
      </c>
      <c r="D19" s="248" t="s">
        <v>91</v>
      </c>
      <c r="E19" s="249"/>
      <c r="F19" s="250"/>
      <c r="G19" s="79"/>
      <c r="H19" s="79"/>
      <c r="I19" s="79"/>
      <c r="J19" s="79"/>
      <c r="K19" s="79"/>
    </row>
    <row r="20" spans="2:11" x14ac:dyDescent="0.45">
      <c r="B20" s="16">
        <v>1</v>
      </c>
      <c r="C20" s="163">
        <f>COMBIN(20,B20)</f>
        <v>20</v>
      </c>
      <c r="D20" s="248" t="s">
        <v>9</v>
      </c>
      <c r="E20" s="249"/>
      <c r="F20" s="250"/>
      <c r="G20" s="79"/>
      <c r="H20" s="79"/>
      <c r="I20" s="79"/>
      <c r="J20" s="79"/>
      <c r="K20" s="79"/>
    </row>
    <row r="21" spans="2:11" x14ac:dyDescent="0.45">
      <c r="B21" s="16">
        <v>2</v>
      </c>
      <c r="C21" s="163">
        <f>COMBIN(20,B21)</f>
        <v>190</v>
      </c>
      <c r="D21" s="248" t="s">
        <v>10</v>
      </c>
      <c r="E21" s="249"/>
      <c r="F21" s="250"/>
      <c r="G21" s="79"/>
      <c r="H21" s="79"/>
      <c r="I21" s="79"/>
      <c r="J21" s="79"/>
      <c r="K21" s="79"/>
    </row>
    <row r="22" spans="2:11" x14ac:dyDescent="0.45">
      <c r="B22" s="16">
        <v>3</v>
      </c>
      <c r="C22" s="163">
        <f>COMBIN(20,B22)</f>
        <v>1140</v>
      </c>
      <c r="D22" s="248" t="s">
        <v>11</v>
      </c>
      <c r="E22" s="249"/>
      <c r="F22" s="250"/>
      <c r="G22" s="79"/>
      <c r="H22" s="79"/>
      <c r="I22" s="79"/>
      <c r="J22" s="79"/>
      <c r="K22" s="79"/>
    </row>
    <row r="23" spans="2:11" x14ac:dyDescent="0.45">
      <c r="B23" s="16">
        <v>4</v>
      </c>
      <c r="C23" s="163">
        <f>COMBIN(20,B23)</f>
        <v>4845</v>
      </c>
      <c r="D23" s="248" t="s">
        <v>12</v>
      </c>
      <c r="E23" s="249"/>
      <c r="F23" s="250"/>
      <c r="G23" s="79"/>
      <c r="H23" s="79"/>
      <c r="I23" s="79"/>
      <c r="J23" s="79"/>
      <c r="K23" s="79"/>
    </row>
    <row r="24" spans="2:11" x14ac:dyDescent="0.45">
      <c r="B24" s="20" t="s">
        <v>88</v>
      </c>
      <c r="C24" s="77">
        <f>SUM(C19:C23)</f>
        <v>6196</v>
      </c>
      <c r="D24" s="248" t="s">
        <v>253</v>
      </c>
      <c r="E24" s="249"/>
      <c r="F24" s="250"/>
      <c r="G24" s="79"/>
      <c r="H24" s="79"/>
      <c r="I24" s="79"/>
      <c r="J24" s="79"/>
      <c r="K24" s="79"/>
    </row>
    <row r="25" spans="2:11" x14ac:dyDescent="0.45">
      <c r="B25" s="20" t="s">
        <v>92</v>
      </c>
      <c r="C25" s="205">
        <f>C24*0.5^20</f>
        <v>5.908966064453125E-3</v>
      </c>
      <c r="D25" s="248" t="s">
        <v>254</v>
      </c>
      <c r="E25" s="249"/>
      <c r="F25" s="250"/>
      <c r="G25" s="79"/>
      <c r="H25" s="79"/>
      <c r="I25" s="79"/>
      <c r="J25" s="79"/>
      <c r="K25" s="79"/>
    </row>
    <row r="26" spans="2:11" x14ac:dyDescent="0.45">
      <c r="B26" s="20" t="s">
        <v>93</v>
      </c>
      <c r="C26" s="206">
        <f>C25*2</f>
        <v>1.181793212890625E-2</v>
      </c>
      <c r="D26" s="248" t="s">
        <v>255</v>
      </c>
      <c r="E26" s="249"/>
      <c r="F26" s="250"/>
    </row>
    <row r="28" spans="2:11" x14ac:dyDescent="0.45">
      <c r="B28" s="20" t="s">
        <v>94</v>
      </c>
      <c r="C28" s="76" t="s">
        <v>95</v>
      </c>
      <c r="D28" s="245" t="s">
        <v>87</v>
      </c>
      <c r="E28" s="246"/>
      <c r="F28" s="247"/>
    </row>
    <row r="29" spans="2:11" x14ac:dyDescent="0.45">
      <c r="B29" s="16">
        <v>0</v>
      </c>
      <c r="C29" s="163">
        <f t="shared" ref="C29:C34" si="0">COMBIN(20,B29)</f>
        <v>1</v>
      </c>
      <c r="D29" s="248" t="s">
        <v>96</v>
      </c>
      <c r="E29" s="249"/>
      <c r="F29" s="250"/>
    </row>
    <row r="30" spans="2:11" x14ac:dyDescent="0.45">
      <c r="B30" s="16">
        <v>1</v>
      </c>
      <c r="C30" s="163">
        <f t="shared" si="0"/>
        <v>20</v>
      </c>
      <c r="D30" s="248" t="s">
        <v>9</v>
      </c>
      <c r="E30" s="249"/>
      <c r="F30" s="250"/>
    </row>
    <row r="31" spans="2:11" x14ac:dyDescent="0.45">
      <c r="B31" s="16">
        <v>2</v>
      </c>
      <c r="C31" s="163">
        <f t="shared" si="0"/>
        <v>190</v>
      </c>
      <c r="D31" s="248" t="s">
        <v>10</v>
      </c>
      <c r="E31" s="249"/>
      <c r="F31" s="250"/>
    </row>
    <row r="32" spans="2:11" x14ac:dyDescent="0.45">
      <c r="B32" s="16">
        <v>3</v>
      </c>
      <c r="C32" s="163">
        <f t="shared" si="0"/>
        <v>1140</v>
      </c>
      <c r="D32" s="248" t="s">
        <v>11</v>
      </c>
      <c r="E32" s="249"/>
      <c r="F32" s="250"/>
    </row>
    <row r="33" spans="2:6" x14ac:dyDescent="0.45">
      <c r="B33" s="16">
        <v>4</v>
      </c>
      <c r="C33" s="163">
        <f t="shared" si="0"/>
        <v>4845</v>
      </c>
      <c r="D33" s="248" t="s">
        <v>12</v>
      </c>
      <c r="E33" s="249"/>
      <c r="F33" s="250"/>
    </row>
    <row r="34" spans="2:6" x14ac:dyDescent="0.45">
      <c r="B34" s="16">
        <v>5</v>
      </c>
      <c r="C34" s="78">
        <f t="shared" si="0"/>
        <v>15503.999999999998</v>
      </c>
      <c r="D34" s="248" t="s">
        <v>97</v>
      </c>
      <c r="E34" s="249"/>
      <c r="F34" s="250"/>
    </row>
    <row r="35" spans="2:6" x14ac:dyDescent="0.45">
      <c r="B35" s="20" t="s">
        <v>88</v>
      </c>
      <c r="C35" s="55">
        <f>SUM(C29:C34)</f>
        <v>21700</v>
      </c>
      <c r="D35" s="248" t="s">
        <v>256</v>
      </c>
      <c r="E35" s="249"/>
      <c r="F35" s="250"/>
    </row>
    <row r="36" spans="2:6" x14ac:dyDescent="0.45">
      <c r="B36" s="20" t="s">
        <v>92</v>
      </c>
      <c r="C36" s="205">
        <f>C35*0.5^20</f>
        <v>2.0694732666015625E-2</v>
      </c>
      <c r="D36" s="248" t="s">
        <v>257</v>
      </c>
      <c r="E36" s="249"/>
      <c r="F36" s="250"/>
    </row>
    <row r="37" spans="2:6" x14ac:dyDescent="0.45">
      <c r="B37" s="20" t="s">
        <v>93</v>
      </c>
      <c r="C37" s="205">
        <f>C36*2</f>
        <v>4.138946533203125E-2</v>
      </c>
      <c r="D37" s="248" t="s">
        <v>261</v>
      </c>
      <c r="E37" s="249"/>
      <c r="F37" s="250"/>
    </row>
    <row r="39" spans="2:6" x14ac:dyDescent="0.45">
      <c r="B39" s="20" t="s">
        <v>89</v>
      </c>
      <c r="C39" s="76" t="s">
        <v>90</v>
      </c>
      <c r="D39" s="245" t="s">
        <v>87</v>
      </c>
      <c r="E39" s="246"/>
      <c r="F39" s="247"/>
    </row>
    <row r="40" spans="2:6" x14ac:dyDescent="0.45">
      <c r="B40" s="16">
        <v>0</v>
      </c>
      <c r="C40" s="163">
        <f t="shared" ref="C40:C46" si="1">COMBIN(20,B40)</f>
        <v>1</v>
      </c>
      <c r="D40" s="248" t="s">
        <v>98</v>
      </c>
      <c r="E40" s="249"/>
      <c r="F40" s="250"/>
    </row>
    <row r="41" spans="2:6" x14ac:dyDescent="0.45">
      <c r="B41" s="16">
        <v>1</v>
      </c>
      <c r="C41" s="163">
        <f t="shared" si="1"/>
        <v>20</v>
      </c>
      <c r="D41" s="248" t="s">
        <v>9</v>
      </c>
      <c r="E41" s="249"/>
      <c r="F41" s="250"/>
    </row>
    <row r="42" spans="2:6" x14ac:dyDescent="0.45">
      <c r="B42" s="16">
        <v>2</v>
      </c>
      <c r="C42" s="163">
        <f t="shared" si="1"/>
        <v>190</v>
      </c>
      <c r="D42" s="248" t="s">
        <v>10</v>
      </c>
      <c r="E42" s="249"/>
      <c r="F42" s="250"/>
    </row>
    <row r="43" spans="2:6" x14ac:dyDescent="0.45">
      <c r="B43" s="16">
        <v>3</v>
      </c>
      <c r="C43" s="163">
        <f t="shared" si="1"/>
        <v>1140</v>
      </c>
      <c r="D43" s="248" t="s">
        <v>11</v>
      </c>
      <c r="E43" s="249"/>
      <c r="F43" s="250"/>
    </row>
    <row r="44" spans="2:6" x14ac:dyDescent="0.45">
      <c r="B44" s="16">
        <v>4</v>
      </c>
      <c r="C44" s="163">
        <f t="shared" si="1"/>
        <v>4845</v>
      </c>
      <c r="D44" s="248" t="s">
        <v>12</v>
      </c>
      <c r="E44" s="249"/>
      <c r="F44" s="250"/>
    </row>
    <row r="45" spans="2:6" x14ac:dyDescent="0.45">
      <c r="B45" s="16">
        <v>5</v>
      </c>
      <c r="C45" s="163">
        <f t="shared" si="1"/>
        <v>15503.999999999998</v>
      </c>
      <c r="D45" s="248" t="s">
        <v>97</v>
      </c>
      <c r="E45" s="249"/>
      <c r="F45" s="250"/>
    </row>
    <row r="46" spans="2:6" x14ac:dyDescent="0.45">
      <c r="B46" s="16">
        <v>6</v>
      </c>
      <c r="C46" s="78">
        <f t="shared" si="1"/>
        <v>38760</v>
      </c>
      <c r="D46" s="248" t="s">
        <v>99</v>
      </c>
      <c r="E46" s="249"/>
      <c r="F46" s="250"/>
    </row>
    <row r="47" spans="2:6" x14ac:dyDescent="0.45">
      <c r="B47" s="20" t="s">
        <v>88</v>
      </c>
      <c r="C47" s="55">
        <f>SUM(C40:C46)</f>
        <v>60460</v>
      </c>
      <c r="D47" s="248" t="s">
        <v>260</v>
      </c>
      <c r="E47" s="249"/>
      <c r="F47" s="250"/>
    </row>
    <row r="48" spans="2:6" x14ac:dyDescent="0.45">
      <c r="B48" s="20" t="s">
        <v>92</v>
      </c>
      <c r="C48" s="205">
        <f>C47*0.5^20</f>
        <v>5.7659149169921875E-2</v>
      </c>
      <c r="D48" s="248" t="s">
        <v>259</v>
      </c>
      <c r="E48" s="249"/>
      <c r="F48" s="250"/>
    </row>
    <row r="49" spans="2:6" x14ac:dyDescent="0.45">
      <c r="B49" s="20" t="s">
        <v>93</v>
      </c>
      <c r="C49" s="205">
        <f>C48*2</f>
        <v>0.11531829833984375</v>
      </c>
      <c r="D49" s="248" t="s">
        <v>258</v>
      </c>
      <c r="E49" s="249"/>
      <c r="F49" s="250"/>
    </row>
  </sheetData>
  <mergeCells count="32">
    <mergeCell ref="D20:F20"/>
    <mergeCell ref="D21:F21"/>
    <mergeCell ref="B2:E5"/>
    <mergeCell ref="G3:J4"/>
    <mergeCell ref="D36:F36"/>
    <mergeCell ref="D37:F37"/>
    <mergeCell ref="D28:F28"/>
    <mergeCell ref="D29:F29"/>
    <mergeCell ref="D30:F30"/>
    <mergeCell ref="D31:F31"/>
    <mergeCell ref="D32:F32"/>
    <mergeCell ref="D22:F22"/>
    <mergeCell ref="D23:F23"/>
    <mergeCell ref="D24:F24"/>
    <mergeCell ref="D25:F25"/>
    <mergeCell ref="D26:F26"/>
    <mergeCell ref="D18:F18"/>
    <mergeCell ref="D19:F19"/>
    <mergeCell ref="D49:F49"/>
    <mergeCell ref="D48:F48"/>
    <mergeCell ref="D47:F47"/>
    <mergeCell ref="D46:F46"/>
    <mergeCell ref="D45:F45"/>
    <mergeCell ref="D39:F39"/>
    <mergeCell ref="D35:F35"/>
    <mergeCell ref="D34:F34"/>
    <mergeCell ref="D33:F33"/>
    <mergeCell ref="D44:F44"/>
    <mergeCell ref="D43:F43"/>
    <mergeCell ref="D42:F42"/>
    <mergeCell ref="D41:F41"/>
    <mergeCell ref="D40:F40"/>
  </mergeCells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0"/>
  <sheetViews>
    <sheetView topLeftCell="C1" workbookViewId="0">
      <selection activeCell="D3" sqref="D3:G4"/>
    </sheetView>
  </sheetViews>
  <sheetFormatPr defaultRowHeight="19.5" x14ac:dyDescent="0.45"/>
  <sheetData>
    <row r="3" spans="4:8" x14ac:dyDescent="0.45">
      <c r="D3" s="232" t="s">
        <v>275</v>
      </c>
      <c r="E3" s="233"/>
      <c r="F3" s="233"/>
      <c r="G3" s="233"/>
    </row>
    <row r="4" spans="4:8" x14ac:dyDescent="0.45">
      <c r="D4" s="233"/>
      <c r="E4" s="233"/>
      <c r="F4" s="233"/>
      <c r="G4" s="233"/>
    </row>
    <row r="6" spans="4:8" x14ac:dyDescent="0.45">
      <c r="G6" s="252" t="s">
        <v>139</v>
      </c>
      <c r="H6" s="252"/>
    </row>
    <row r="7" spans="4:8" x14ac:dyDescent="0.45">
      <c r="E7" s="253" t="s">
        <v>140</v>
      </c>
      <c r="F7" s="253"/>
      <c r="G7" s="65" t="s">
        <v>141</v>
      </c>
      <c r="H7" s="65" t="s">
        <v>142</v>
      </c>
    </row>
    <row r="8" spans="4:8" x14ac:dyDescent="0.45">
      <c r="E8" s="254" t="s">
        <v>143</v>
      </c>
      <c r="F8" s="254"/>
      <c r="G8" s="45">
        <v>5.7299999999999997E-2</v>
      </c>
      <c r="H8" s="45">
        <v>0.43659999999999999</v>
      </c>
    </row>
    <row r="9" spans="4:8" x14ac:dyDescent="0.45">
      <c r="E9" s="254" t="s">
        <v>144</v>
      </c>
      <c r="F9" s="254"/>
      <c r="G9" s="45">
        <v>8.0699999999999994E-2</v>
      </c>
      <c r="H9" s="80">
        <v>0.41599999999999998</v>
      </c>
    </row>
    <row r="10" spans="4:8" x14ac:dyDescent="0.45">
      <c r="E10" s="251" t="s">
        <v>145</v>
      </c>
      <c r="F10" s="251"/>
      <c r="G10" s="65">
        <v>7.4899999999999994E-2</v>
      </c>
      <c r="H10" s="65">
        <v>0.42180000000000001</v>
      </c>
    </row>
  </sheetData>
  <mergeCells count="6">
    <mergeCell ref="E10:F10"/>
    <mergeCell ref="D3:G4"/>
    <mergeCell ref="G6:H6"/>
    <mergeCell ref="E7:F7"/>
    <mergeCell ref="E8:F8"/>
    <mergeCell ref="E9:F9"/>
  </mergeCells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A4" sqref="A4"/>
    </sheetView>
  </sheetViews>
  <sheetFormatPr defaultColWidth="8.69921875" defaultRowHeight="19.5" x14ac:dyDescent="0.45"/>
  <cols>
    <col min="1" max="1" width="20.69921875" style="11" customWidth="1"/>
    <col min="2" max="2" width="6.19921875" style="11" customWidth="1"/>
    <col min="3" max="3" width="17" style="10" customWidth="1"/>
    <col min="4" max="16384" width="8.69921875" style="10"/>
  </cols>
  <sheetData>
    <row r="2" spans="1:11" x14ac:dyDescent="0.45">
      <c r="F2" s="11"/>
      <c r="G2" s="11"/>
      <c r="J2" s="11"/>
    </row>
    <row r="3" spans="1:11" ht="25.15" customHeight="1" x14ac:dyDescent="0.45">
      <c r="A3" s="198" t="s">
        <v>276</v>
      </c>
      <c r="C3" s="255" t="s">
        <v>48</v>
      </c>
      <c r="D3" s="255"/>
      <c r="E3" s="255"/>
      <c r="F3" s="255"/>
      <c r="G3" s="255"/>
      <c r="J3" s="11"/>
    </row>
    <row r="4" spans="1:11" x14ac:dyDescent="0.45">
      <c r="F4" s="11"/>
      <c r="G4" s="11"/>
      <c r="J4" s="11"/>
    </row>
    <row r="5" spans="1:11" x14ac:dyDescent="0.45">
      <c r="F5" s="11"/>
      <c r="G5" s="11"/>
      <c r="J5" s="11"/>
    </row>
    <row r="6" spans="1:11" x14ac:dyDescent="0.45">
      <c r="A6" s="10"/>
      <c r="B6" s="10"/>
      <c r="C6" s="31" t="s">
        <v>39</v>
      </c>
      <c r="D6" s="31" t="s">
        <v>44</v>
      </c>
      <c r="E6" s="31" t="s">
        <v>45</v>
      </c>
      <c r="F6" s="31" t="s">
        <v>40</v>
      </c>
      <c r="G6" s="31" t="s">
        <v>38</v>
      </c>
      <c r="J6" s="11"/>
    </row>
    <row r="7" spans="1:11" x14ac:dyDescent="0.45">
      <c r="A7" s="10"/>
      <c r="B7" s="10"/>
      <c r="C7" s="11" t="s">
        <v>41</v>
      </c>
      <c r="D7" s="11">
        <v>14</v>
      </c>
      <c r="E7" s="11">
        <v>9</v>
      </c>
      <c r="F7" s="11">
        <v>7</v>
      </c>
      <c r="G7" s="11">
        <f>SUM(D7:F7)</f>
        <v>30</v>
      </c>
      <c r="K7" s="11"/>
    </row>
    <row r="8" spans="1:11" x14ac:dyDescent="0.45">
      <c r="A8" s="10"/>
      <c r="B8" s="10"/>
      <c r="C8" s="11" t="s">
        <v>42</v>
      </c>
      <c r="D8" s="11">
        <v>10</v>
      </c>
      <c r="E8" s="11">
        <v>10</v>
      </c>
      <c r="F8" s="11">
        <v>10</v>
      </c>
      <c r="G8" s="11">
        <f>SUM(D8:F8)</f>
        <v>30</v>
      </c>
      <c r="K8" s="11"/>
    </row>
    <row r="9" spans="1:11" x14ac:dyDescent="0.45">
      <c r="A9" s="10"/>
      <c r="B9" s="10"/>
      <c r="C9" s="11" t="s">
        <v>43</v>
      </c>
      <c r="D9" s="34">
        <f>D7-D8</f>
        <v>4</v>
      </c>
      <c r="E9" s="34">
        <f>E7-E8</f>
        <v>-1</v>
      </c>
      <c r="F9" s="34">
        <f>F7-F8</f>
        <v>-3</v>
      </c>
      <c r="G9" s="34">
        <f>SUM(D9:F9)</f>
        <v>0</v>
      </c>
      <c r="K9" s="11"/>
    </row>
    <row r="10" spans="1:11" ht="21.75" x14ac:dyDescent="0.45">
      <c r="A10" s="10"/>
      <c r="B10" s="10"/>
      <c r="C10" s="32" t="s">
        <v>46</v>
      </c>
      <c r="D10" s="35">
        <f>D9*D9</f>
        <v>16</v>
      </c>
      <c r="E10" s="35">
        <f>E9*E9</f>
        <v>1</v>
      </c>
      <c r="F10" s="35">
        <f>F9*F9</f>
        <v>9</v>
      </c>
      <c r="G10" s="34">
        <f>SUM(D10:F10)</f>
        <v>26</v>
      </c>
      <c r="K10" s="11"/>
    </row>
    <row r="11" spans="1:11" ht="21.75" x14ac:dyDescent="0.45">
      <c r="A11" s="10"/>
      <c r="B11" s="10"/>
      <c r="C11" s="33" t="s">
        <v>47</v>
      </c>
      <c r="D11" s="36">
        <f>D10/D8</f>
        <v>1.6</v>
      </c>
      <c r="E11" s="36">
        <f>E10/E8</f>
        <v>0.1</v>
      </c>
      <c r="F11" s="36">
        <f>F10/F8</f>
        <v>0.9</v>
      </c>
      <c r="G11" s="37">
        <f>SUM(D11:F11)</f>
        <v>2.6</v>
      </c>
      <c r="K11" s="11"/>
    </row>
    <row r="12" spans="1:11" x14ac:dyDescent="0.45">
      <c r="A12" s="10"/>
      <c r="B12" s="10"/>
      <c r="F12" s="11"/>
      <c r="G12" s="11"/>
      <c r="K12" s="11"/>
    </row>
    <row r="13" spans="1:11" x14ac:dyDescent="0.45">
      <c r="A13" s="10"/>
      <c r="B13" s="10"/>
      <c r="F13" s="11"/>
      <c r="G13" s="11"/>
      <c r="K13" s="11"/>
    </row>
    <row r="14" spans="1:11" x14ac:dyDescent="0.45">
      <c r="D14" s="38"/>
      <c r="E14" s="38"/>
      <c r="F14" s="38"/>
      <c r="G14" s="38"/>
    </row>
    <row r="15" spans="1:11" x14ac:dyDescent="0.45">
      <c r="D15" s="38"/>
      <c r="E15" s="38"/>
      <c r="F15" s="38"/>
      <c r="G15" s="38"/>
    </row>
    <row r="16" spans="1:11" x14ac:dyDescent="0.45">
      <c r="D16" s="38"/>
      <c r="E16" s="38"/>
      <c r="F16" s="38"/>
      <c r="G16" s="38"/>
    </row>
  </sheetData>
  <mergeCells count="1">
    <mergeCell ref="C3:G3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41"/>
  <sheetViews>
    <sheetView zoomScale="75" zoomScaleNormal="75" workbookViewId="0">
      <selection activeCell="G10" sqref="G10"/>
    </sheetView>
  </sheetViews>
  <sheetFormatPr defaultColWidth="8.69921875" defaultRowHeight="19.5" x14ac:dyDescent="0.45"/>
  <cols>
    <col min="1" max="1" width="8.69921875" style="10"/>
    <col min="2" max="2" width="11.19921875" style="10" customWidth="1"/>
    <col min="3" max="3" width="13.5" style="11" customWidth="1"/>
    <col min="4" max="4" width="19.19921875" style="10" bestFit="1" customWidth="1"/>
    <col min="5" max="5" width="21.796875" style="127" customWidth="1"/>
    <col min="6" max="6" width="18.3984375" style="130" customWidth="1"/>
    <col min="7" max="7" width="22.69921875" style="10" customWidth="1"/>
    <col min="8" max="8" width="15.296875" style="124" customWidth="1"/>
    <col min="9" max="9" width="13.69921875" style="11" customWidth="1"/>
    <col min="10" max="10" width="8.69921875" style="11"/>
    <col min="11" max="11" width="12.796875" style="11" customWidth="1"/>
    <col min="12" max="12" width="22.19921875" style="10" customWidth="1"/>
    <col min="13" max="13" width="22.69921875" style="10" customWidth="1"/>
    <col min="14" max="14" width="18.8984375" style="10" customWidth="1"/>
    <col min="15" max="15" width="10" style="10" customWidth="1"/>
    <col min="16" max="16384" width="8.69921875" style="10"/>
  </cols>
  <sheetData>
    <row r="2" spans="1:15" ht="28.15" customHeight="1" x14ac:dyDescent="0.45">
      <c r="C2" s="258" t="s">
        <v>252</v>
      </c>
      <c r="D2" s="259"/>
      <c r="E2" s="259"/>
      <c r="F2" s="167"/>
    </row>
    <row r="4" spans="1:15" x14ac:dyDescent="0.45">
      <c r="C4" s="257" t="s">
        <v>277</v>
      </c>
      <c r="D4" s="256"/>
      <c r="E4" s="256"/>
      <c r="F4" s="256"/>
      <c r="G4" s="256"/>
      <c r="H4" s="125"/>
    </row>
    <row r="5" spans="1:15" x14ac:dyDescent="0.45">
      <c r="C5" s="256"/>
      <c r="D5" s="256"/>
      <c r="E5" s="256"/>
      <c r="F5" s="256"/>
      <c r="G5" s="256"/>
      <c r="H5" s="125"/>
    </row>
    <row r="6" spans="1:15" x14ac:dyDescent="0.45">
      <c r="C6" s="256"/>
      <c r="D6" s="256"/>
      <c r="E6" s="256"/>
      <c r="F6" s="256"/>
      <c r="G6" s="256"/>
      <c r="H6" s="125"/>
    </row>
    <row r="8" spans="1:15" x14ac:dyDescent="0.45">
      <c r="A8" s="260" t="s">
        <v>31</v>
      </c>
      <c r="B8" s="261"/>
    </row>
    <row r="10" spans="1:15" x14ac:dyDescent="0.45">
      <c r="B10" s="12" t="s">
        <v>32</v>
      </c>
      <c r="C10" s="111">
        <v>14</v>
      </c>
      <c r="D10" s="12">
        <v>9</v>
      </c>
      <c r="E10" s="151">
        <v>7</v>
      </c>
      <c r="F10" s="11">
        <v>30</v>
      </c>
      <c r="H10" s="125"/>
    </row>
    <row r="11" spans="1:15" x14ac:dyDescent="0.45">
      <c r="B11" s="12" t="s">
        <v>33</v>
      </c>
      <c r="C11" s="111">
        <v>10</v>
      </c>
      <c r="D11" s="12">
        <v>10</v>
      </c>
      <c r="E11" s="151">
        <v>10</v>
      </c>
      <c r="F11" s="11">
        <v>30</v>
      </c>
      <c r="H11" s="125"/>
    </row>
    <row r="13" spans="1:15" x14ac:dyDescent="0.45">
      <c r="A13" s="260" t="s">
        <v>167</v>
      </c>
      <c r="B13" s="262"/>
      <c r="C13" s="262"/>
      <c r="D13" s="261"/>
      <c r="K13" s="256" t="s">
        <v>203</v>
      </c>
      <c r="L13" s="256"/>
      <c r="M13" s="256"/>
      <c r="N13" s="256"/>
      <c r="O13" s="256"/>
    </row>
    <row r="14" spans="1:15" x14ac:dyDescent="0.45">
      <c r="K14" s="256"/>
      <c r="L14" s="256"/>
      <c r="M14" s="256"/>
      <c r="N14" s="256"/>
      <c r="O14" s="256"/>
    </row>
    <row r="15" spans="1:15" x14ac:dyDescent="0.45">
      <c r="B15" s="12" t="s">
        <v>16</v>
      </c>
      <c r="C15" s="112">
        <v>2.6</v>
      </c>
      <c r="D15" s="12" t="s">
        <v>17</v>
      </c>
      <c r="E15" s="28">
        <v>0.28205813860000001</v>
      </c>
      <c r="F15" s="132"/>
      <c r="G15" s="12" t="s">
        <v>18</v>
      </c>
      <c r="H15" s="21"/>
      <c r="I15" s="25">
        <v>2.5312800000000002</v>
      </c>
    </row>
    <row r="16" spans="1:15" x14ac:dyDescent="0.45">
      <c r="B16" s="11"/>
      <c r="D16" s="11"/>
      <c r="E16" s="128"/>
      <c r="F16" s="131"/>
      <c r="G16" s="11"/>
      <c r="H16" s="125"/>
      <c r="I16" s="93"/>
    </row>
    <row r="17" spans="1:15" x14ac:dyDescent="0.45">
      <c r="A17" s="256" t="s">
        <v>146</v>
      </c>
      <c r="B17" s="256"/>
      <c r="C17" s="256"/>
      <c r="D17" s="11"/>
      <c r="E17" s="128"/>
      <c r="F17" s="131"/>
      <c r="G17" s="11"/>
      <c r="H17" s="125"/>
      <c r="I17" s="93"/>
      <c r="K17" s="65" t="s">
        <v>39</v>
      </c>
      <c r="L17" s="65" t="s">
        <v>147</v>
      </c>
      <c r="M17" s="65" t="s">
        <v>148</v>
      </c>
      <c r="N17" s="65" t="s">
        <v>40</v>
      </c>
      <c r="O17" s="65" t="s">
        <v>38</v>
      </c>
    </row>
    <row r="18" spans="1:15" x14ac:dyDescent="0.45">
      <c r="B18" s="11"/>
      <c r="D18" s="11"/>
      <c r="E18" s="128"/>
      <c r="F18" s="131"/>
      <c r="G18" s="11"/>
      <c r="H18" s="125"/>
      <c r="I18" s="93"/>
      <c r="K18" s="45" t="s">
        <v>149</v>
      </c>
      <c r="L18" s="45">
        <v>14</v>
      </c>
      <c r="M18" s="45">
        <v>9</v>
      </c>
      <c r="N18" s="45">
        <v>7</v>
      </c>
      <c r="O18" s="45">
        <f>SUM(L18:N18)</f>
        <v>30</v>
      </c>
    </row>
    <row r="19" spans="1:15" x14ac:dyDescent="0.45">
      <c r="B19" s="46" t="s">
        <v>16</v>
      </c>
      <c r="C19" s="98">
        <f>SUM(L22:N22)</f>
        <v>2.6</v>
      </c>
      <c r="D19" s="46" t="s">
        <v>17</v>
      </c>
      <c r="E19" s="28">
        <f>L23*M23*N23</f>
        <v>0.28205813855473361</v>
      </c>
      <c r="F19" s="132"/>
      <c r="G19" s="46" t="s">
        <v>18</v>
      </c>
      <c r="H19" s="21"/>
      <c r="I19" s="100">
        <f>-2*LN(E19)</f>
        <v>2.5312841284108338</v>
      </c>
      <c r="K19" s="45" t="s">
        <v>150</v>
      </c>
      <c r="L19" s="45">
        <v>10</v>
      </c>
      <c r="M19" s="45">
        <v>10</v>
      </c>
      <c r="N19" s="45">
        <v>10</v>
      </c>
      <c r="O19" s="45">
        <f>SUM(L19:N19)</f>
        <v>30</v>
      </c>
    </row>
    <row r="20" spans="1:15" x14ac:dyDescent="0.45">
      <c r="B20" s="11"/>
      <c r="C20" s="101" t="s">
        <v>155</v>
      </c>
      <c r="D20" s="11"/>
      <c r="E20" s="128"/>
      <c r="F20" s="131"/>
      <c r="G20" s="11"/>
      <c r="H20" s="125"/>
      <c r="I20" s="93" t="s">
        <v>156</v>
      </c>
      <c r="K20" s="45" t="s">
        <v>151</v>
      </c>
      <c r="L20" s="45">
        <f>L18-L19</f>
        <v>4</v>
      </c>
      <c r="M20" s="45">
        <f>M18-M19</f>
        <v>-1</v>
      </c>
      <c r="N20" s="45">
        <f>N18-N19</f>
        <v>-3</v>
      </c>
      <c r="O20" s="45">
        <f>SUM(L20:N20)</f>
        <v>0</v>
      </c>
    </row>
    <row r="21" spans="1:15" ht="21.75" x14ac:dyDescent="0.45">
      <c r="B21" s="46" t="s">
        <v>154</v>
      </c>
      <c r="C21" s="103">
        <f>_xlfn.CHISQ.DIST.RT(C19,2)</f>
        <v>0.27253179303401259</v>
      </c>
      <c r="D21" s="102"/>
      <c r="E21" s="128"/>
      <c r="F21" s="131"/>
      <c r="G21" s="46" t="s">
        <v>154</v>
      </c>
      <c r="H21" s="21"/>
      <c r="I21" s="104">
        <f t="shared" ref="I21" si="0">_xlfn.CHISQ.DIST.RT(I19,2)</f>
        <v>0.28205813855473361</v>
      </c>
      <c r="K21" s="95" t="s">
        <v>152</v>
      </c>
      <c r="L21" s="96">
        <f>L20*L20</f>
        <v>16</v>
      </c>
      <c r="M21" s="96">
        <f>M20*M20</f>
        <v>1</v>
      </c>
      <c r="N21" s="96">
        <f>N20*N20</f>
        <v>9</v>
      </c>
      <c r="O21" s="60">
        <f>SUM(L21:N21)</f>
        <v>26</v>
      </c>
    </row>
    <row r="22" spans="1:15" ht="21.75" x14ac:dyDescent="0.45">
      <c r="K22" s="64" t="s">
        <v>153</v>
      </c>
      <c r="L22" s="97">
        <f>L21/L19</f>
        <v>1.6</v>
      </c>
      <c r="M22" s="97">
        <f>M21/M19</f>
        <v>0.1</v>
      </c>
      <c r="N22" s="97">
        <f>N21/N19</f>
        <v>0.9</v>
      </c>
      <c r="O22" s="65">
        <f>SUM(L22:N22)</f>
        <v>2.6</v>
      </c>
    </row>
    <row r="23" spans="1:15" x14ac:dyDescent="0.45">
      <c r="A23" s="260" t="s">
        <v>166</v>
      </c>
      <c r="B23" s="262"/>
      <c r="C23" s="261"/>
      <c r="K23" s="99" t="s">
        <v>157</v>
      </c>
      <c r="L23" s="114">
        <f>(L19/L18)^L18</f>
        <v>8.9992745297812829E-3</v>
      </c>
      <c r="M23" s="114">
        <f t="shared" ref="M23:N23" si="1">(M19/M18)^M18</f>
        <v>2.5811747917131984</v>
      </c>
      <c r="N23" s="114">
        <f t="shared" si="1"/>
        <v>12.142656789020126</v>
      </c>
    </row>
    <row r="24" spans="1:15" x14ac:dyDescent="0.45">
      <c r="K24" s="11" t="s">
        <v>185</v>
      </c>
      <c r="L24" s="94">
        <f>(10/14)^14</f>
        <v>8.9992745297812829E-3</v>
      </c>
      <c r="M24" s="94">
        <f>(10/9)^9</f>
        <v>2.5811747917131984</v>
      </c>
      <c r="N24" s="94">
        <f>(10/7)^7</f>
        <v>12.142656789020126</v>
      </c>
    </row>
    <row r="25" spans="1:15" x14ac:dyDescent="0.45">
      <c r="B25" s="12" t="s">
        <v>25</v>
      </c>
      <c r="C25" s="26">
        <v>0.31065500000000001</v>
      </c>
    </row>
    <row r="26" spans="1:15" x14ac:dyDescent="0.45">
      <c r="B26" s="12" t="s">
        <v>28</v>
      </c>
      <c r="C26" s="27">
        <v>0.264818</v>
      </c>
      <c r="K26" s="113" t="s">
        <v>173</v>
      </c>
      <c r="L26" s="28">
        <f>(10^30)/(14^14*9^9*7^7)</f>
        <v>0.28205813855473338</v>
      </c>
    </row>
    <row r="27" spans="1:15" x14ac:dyDescent="0.45">
      <c r="B27" s="12" t="s">
        <v>26</v>
      </c>
      <c r="C27" s="28">
        <v>0.33405099999999999</v>
      </c>
      <c r="K27" s="147" t="s">
        <v>173</v>
      </c>
      <c r="L27" s="27">
        <f>((10/14)^14)*((10/9)^9)*((10/7)^7)</f>
        <v>0.28205813855473361</v>
      </c>
    </row>
    <row r="28" spans="1:15" x14ac:dyDescent="0.45">
      <c r="B28" s="12" t="s">
        <v>29</v>
      </c>
      <c r="C28" s="27">
        <v>0.30980999999999997</v>
      </c>
    </row>
    <row r="29" spans="1:15" x14ac:dyDescent="0.45">
      <c r="E29" s="128" t="s">
        <v>195</v>
      </c>
    </row>
    <row r="30" spans="1:15" x14ac:dyDescent="0.45">
      <c r="B30" s="265" t="s">
        <v>19</v>
      </c>
      <c r="C30" s="265"/>
      <c r="D30" s="143">
        <v>496</v>
      </c>
      <c r="E30" s="151">
        <f>COMBIN(32,30)</f>
        <v>496</v>
      </c>
    </row>
    <row r="32" spans="1:15" s="11" customFormat="1" x14ac:dyDescent="0.45">
      <c r="A32" s="256" t="s">
        <v>172</v>
      </c>
      <c r="B32" s="256"/>
      <c r="C32" s="256"/>
      <c r="D32" s="256"/>
      <c r="E32" s="127"/>
      <c r="F32" s="130"/>
      <c r="G32" s="10"/>
      <c r="H32" s="124"/>
      <c r="L32" s="10"/>
    </row>
    <row r="33" spans="1:14" s="11" customFormat="1" x14ac:dyDescent="0.45">
      <c r="A33" s="265" t="s">
        <v>174</v>
      </c>
      <c r="B33" s="265"/>
      <c r="C33" s="265"/>
      <c r="D33" s="265"/>
      <c r="E33" s="127"/>
      <c r="F33" s="130"/>
      <c r="G33" s="10"/>
      <c r="H33" s="124"/>
      <c r="L33" s="10"/>
      <c r="M33" s="195" t="s">
        <v>234</v>
      </c>
    </row>
    <row r="35" spans="1:14" x14ac:dyDescent="0.45">
      <c r="A35" s="11"/>
      <c r="B35" s="11" t="s">
        <v>20</v>
      </c>
      <c r="C35" s="11" t="s">
        <v>21</v>
      </c>
      <c r="D35" s="11" t="s">
        <v>22</v>
      </c>
      <c r="E35" s="128" t="s">
        <v>189</v>
      </c>
      <c r="F35" s="128" t="s">
        <v>189</v>
      </c>
      <c r="G35" s="11" t="s">
        <v>168</v>
      </c>
      <c r="H35" s="125" t="s">
        <v>188</v>
      </c>
      <c r="I35" s="11" t="s">
        <v>23</v>
      </c>
      <c r="J35" s="11" t="s">
        <v>23</v>
      </c>
      <c r="K35" s="11" t="s">
        <v>170</v>
      </c>
      <c r="L35" s="11" t="s">
        <v>170</v>
      </c>
      <c r="M35" s="11" t="s">
        <v>191</v>
      </c>
    </row>
    <row r="36" spans="1:14" x14ac:dyDescent="0.45">
      <c r="B36" s="195">
        <v>0</v>
      </c>
      <c r="C36" s="195">
        <v>0</v>
      </c>
      <c r="D36" s="12">
        <v>30</v>
      </c>
      <c r="E36" s="22">
        <f>(1/3)^30</f>
        <v>4.8569357496188583E-15</v>
      </c>
      <c r="F36" s="129">
        <f>G36-E36</f>
        <v>0</v>
      </c>
      <c r="G36" s="22">
        <v>4.8569357496188599E-15</v>
      </c>
      <c r="H36" s="21">
        <f>(((B36-10))^2+((C36-10))^2+((D36-10))^2)/10</f>
        <v>60</v>
      </c>
      <c r="I36" s="21">
        <v>60</v>
      </c>
      <c r="J36" s="23" t="s">
        <v>24</v>
      </c>
      <c r="K36" s="23" t="s">
        <v>24</v>
      </c>
      <c r="L36" s="22">
        <v>4.8600000000000001E-15</v>
      </c>
      <c r="M36" s="207">
        <f>1/(((D36/10)^D36))</f>
        <v>4.8569357496188614E-15</v>
      </c>
      <c r="N36" s="231">
        <f>L36-M36</f>
        <v>3.0642503811386576E-18</v>
      </c>
    </row>
    <row r="37" spans="1:14" x14ac:dyDescent="0.45">
      <c r="B37" s="195">
        <v>0</v>
      </c>
      <c r="C37" s="111">
        <v>1</v>
      </c>
      <c r="D37" s="12">
        <v>29</v>
      </c>
      <c r="E37" s="22">
        <f t="shared" ref="E37:E100" si="2">$E$36*FACT(30)/(FACT(B37)*FACT(C37)*FACT(D37))</f>
        <v>1.457080724885658E-13</v>
      </c>
      <c r="F37" s="129">
        <f t="shared" ref="F37:F100" si="3">G37-E37</f>
        <v>2.0194839173657902E-28</v>
      </c>
      <c r="G37" s="22">
        <v>1.4570807248856601E-13</v>
      </c>
      <c r="H37" s="21">
        <f t="shared" ref="H37:H100" si="4">(((B37-10))^2+((C37-10))^2+((D37-10))^2)/10</f>
        <v>54.2</v>
      </c>
      <c r="I37" s="21">
        <v>54.2</v>
      </c>
      <c r="J37" s="23" t="s">
        <v>24</v>
      </c>
      <c r="K37" s="23" t="s">
        <v>24</v>
      </c>
      <c r="L37" s="22">
        <v>3.8945999999999999E-13</v>
      </c>
      <c r="M37" s="207">
        <f>1/(((C37/10)^C37)*((D37/10)^D37))</f>
        <v>3.8945569682215584E-13</v>
      </c>
      <c r="N37" s="231">
        <f t="shared" ref="N37:N100" si="5">L37-M37</f>
        <v>4.3031778441487649E-18</v>
      </c>
    </row>
    <row r="38" spans="1:14" x14ac:dyDescent="0.45">
      <c r="B38" s="195">
        <v>0</v>
      </c>
      <c r="C38" s="111">
        <v>2</v>
      </c>
      <c r="D38" s="12">
        <v>28</v>
      </c>
      <c r="E38" s="22">
        <f t="shared" si="2"/>
        <v>2.1127670510842044E-12</v>
      </c>
      <c r="F38" s="129">
        <f t="shared" si="3"/>
        <v>-4.4428646182047385E-27</v>
      </c>
      <c r="G38" s="22">
        <v>2.1127670510841999E-12</v>
      </c>
      <c r="H38" s="21">
        <f t="shared" si="4"/>
        <v>48.8</v>
      </c>
      <c r="I38" s="21">
        <v>48.8</v>
      </c>
      <c r="J38" s="23" t="s">
        <v>24</v>
      </c>
      <c r="K38" s="23" t="s">
        <v>24</v>
      </c>
      <c r="L38" s="22">
        <v>7.5424999999999994E-12</v>
      </c>
      <c r="M38" s="207">
        <f t="shared" ref="M38:M65" si="6">1/(((C38/10)^C38)*((D38/10)^D38))</f>
        <v>7.542496739176126E-12</v>
      </c>
      <c r="N38" s="231">
        <f t="shared" si="5"/>
        <v>3.26082387344887E-18</v>
      </c>
    </row>
    <row r="39" spans="1:14" x14ac:dyDescent="0.45">
      <c r="B39" s="195">
        <v>0</v>
      </c>
      <c r="C39" s="111">
        <v>3</v>
      </c>
      <c r="D39" s="12">
        <v>27</v>
      </c>
      <c r="E39" s="22">
        <f t="shared" si="2"/>
        <v>1.971915914345257E-11</v>
      </c>
      <c r="F39" s="129">
        <f t="shared" si="3"/>
        <v>2.9080568410067379E-26</v>
      </c>
      <c r="G39" s="22">
        <v>1.9719159143452599E-11</v>
      </c>
      <c r="H39" s="21">
        <f t="shared" si="4"/>
        <v>43.8</v>
      </c>
      <c r="I39" s="21">
        <v>43.8</v>
      </c>
      <c r="J39" s="23" t="s">
        <v>24</v>
      </c>
      <c r="K39" s="23" t="s">
        <v>24</v>
      </c>
      <c r="L39" s="22">
        <v>8.3524640000000003E-11</v>
      </c>
      <c r="M39" s="207">
        <f t="shared" si="6"/>
        <v>8.352463828623908E-11</v>
      </c>
      <c r="N39" s="231">
        <f t="shared" si="5"/>
        <v>1.7137609227218205E-18</v>
      </c>
    </row>
    <row r="40" spans="1:14" x14ac:dyDescent="0.45">
      <c r="B40" s="195">
        <v>0</v>
      </c>
      <c r="C40" s="111">
        <v>4</v>
      </c>
      <c r="D40" s="12">
        <v>26</v>
      </c>
      <c r="E40" s="22">
        <f t="shared" si="2"/>
        <v>1.331043242183048E-10</v>
      </c>
      <c r="F40" s="129">
        <f t="shared" si="3"/>
        <v>2.0679515313825692E-25</v>
      </c>
      <c r="G40" s="22">
        <v>1.3310432421830501E-10</v>
      </c>
      <c r="H40" s="21">
        <f t="shared" si="4"/>
        <v>39.200000000000003</v>
      </c>
      <c r="I40" s="21">
        <v>39.200000000000003</v>
      </c>
      <c r="J40" s="23" t="s">
        <v>24</v>
      </c>
      <c r="K40" s="23" t="s">
        <v>24</v>
      </c>
      <c r="L40" s="22">
        <v>6.3453120999999999E-10</v>
      </c>
      <c r="M40" s="207">
        <f t="shared" si="6"/>
        <v>6.3453120900366684E-10</v>
      </c>
      <c r="N40" s="231">
        <f t="shared" si="5"/>
        <v>9.9633315415825739E-19</v>
      </c>
    </row>
    <row r="41" spans="1:14" x14ac:dyDescent="0.45">
      <c r="B41" s="195">
        <v>0</v>
      </c>
      <c r="C41" s="111">
        <v>5</v>
      </c>
      <c r="D41" s="12">
        <v>25</v>
      </c>
      <c r="E41" s="22">
        <f t="shared" si="2"/>
        <v>6.9214248593518523E-10</v>
      </c>
      <c r="F41" s="129">
        <f t="shared" si="3"/>
        <v>0</v>
      </c>
      <c r="G41" s="22">
        <v>6.9214248593518502E-10</v>
      </c>
      <c r="H41" s="21">
        <f t="shared" si="4"/>
        <v>35</v>
      </c>
      <c r="I41" s="21">
        <v>35</v>
      </c>
      <c r="J41" s="23" t="s">
        <v>24</v>
      </c>
      <c r="K41" s="23" t="s">
        <v>24</v>
      </c>
      <c r="L41" s="22">
        <v>3.6028797000000002E-9</v>
      </c>
      <c r="M41" s="207">
        <f t="shared" si="6"/>
        <v>3.6028797018963965E-9</v>
      </c>
      <c r="N41" s="231">
        <f t="shared" si="5"/>
        <v>-1.8963963402906026E-18</v>
      </c>
    </row>
    <row r="42" spans="1:14" x14ac:dyDescent="0.45">
      <c r="B42" s="195">
        <v>0</v>
      </c>
      <c r="C42" s="111">
        <v>6</v>
      </c>
      <c r="D42" s="12">
        <v>24</v>
      </c>
      <c r="E42" s="22">
        <f t="shared" si="2"/>
        <v>2.8839270247299382E-9</v>
      </c>
      <c r="F42" s="129">
        <f t="shared" si="3"/>
        <v>0</v>
      </c>
      <c r="G42" s="22">
        <v>2.8839270247299399E-9</v>
      </c>
      <c r="H42" s="21">
        <f t="shared" si="4"/>
        <v>31.2</v>
      </c>
      <c r="I42" s="21">
        <v>31.2</v>
      </c>
      <c r="J42" s="23" t="s">
        <v>24</v>
      </c>
      <c r="K42" s="23" t="s">
        <v>24</v>
      </c>
      <c r="L42" s="22">
        <v>1.6070252350000001E-8</v>
      </c>
      <c r="M42" s="207">
        <f t="shared" si="6"/>
        <v>1.6070252354001722E-8</v>
      </c>
      <c r="N42" s="231">
        <f t="shared" si="5"/>
        <v>-4.0017211325192364E-18</v>
      </c>
    </row>
    <row r="43" spans="1:14" x14ac:dyDescent="0.45">
      <c r="B43" s="195">
        <v>0</v>
      </c>
      <c r="C43" s="111">
        <v>7</v>
      </c>
      <c r="D43" s="12">
        <v>23</v>
      </c>
      <c r="E43" s="22">
        <f t="shared" si="2"/>
        <v>9.8877497990740741E-9</v>
      </c>
      <c r="F43" s="129">
        <f t="shared" si="3"/>
        <v>0</v>
      </c>
      <c r="G43" s="22">
        <v>9.8877497990740807E-9</v>
      </c>
      <c r="H43" s="21">
        <f t="shared" si="4"/>
        <v>27.8</v>
      </c>
      <c r="I43" s="21">
        <v>27.8</v>
      </c>
      <c r="J43" s="23" t="s">
        <v>24</v>
      </c>
      <c r="K43" s="23" t="s">
        <v>24</v>
      </c>
      <c r="L43" s="22">
        <v>5.8153183100000002E-8</v>
      </c>
      <c r="M43" s="207">
        <f t="shared" si="6"/>
        <v>5.8153183104462032E-8</v>
      </c>
      <c r="N43" s="231">
        <f t="shared" si="5"/>
        <v>-4.4620305997927453E-18</v>
      </c>
    </row>
    <row r="44" spans="1:14" x14ac:dyDescent="0.45">
      <c r="B44" s="195">
        <v>0</v>
      </c>
      <c r="C44" s="111">
        <v>8</v>
      </c>
      <c r="D44" s="12">
        <v>22</v>
      </c>
      <c r="E44" s="22">
        <f t="shared" si="2"/>
        <v>2.8427280672337964E-8</v>
      </c>
      <c r="F44" s="129">
        <f t="shared" si="3"/>
        <v>3.6395946952333218E-23</v>
      </c>
      <c r="G44" s="22">
        <v>2.8427280672338001E-8</v>
      </c>
      <c r="H44" s="21">
        <f t="shared" si="4"/>
        <v>24.8</v>
      </c>
      <c r="I44" s="21">
        <v>24.8</v>
      </c>
      <c r="J44" s="23" t="s">
        <v>24</v>
      </c>
      <c r="K44" s="23" t="s">
        <v>24</v>
      </c>
      <c r="L44" s="22">
        <v>1.7457462827999999E-7</v>
      </c>
      <c r="M44" s="207">
        <f t="shared" si="6"/>
        <v>1.745746282803E-7</v>
      </c>
      <c r="N44" s="231">
        <f t="shared" si="5"/>
        <v>-3.000084820056325E-19</v>
      </c>
    </row>
    <row r="45" spans="1:14" x14ac:dyDescent="0.45">
      <c r="B45" s="195">
        <v>0</v>
      </c>
      <c r="C45" s="111">
        <v>9</v>
      </c>
      <c r="D45" s="12">
        <v>21</v>
      </c>
      <c r="E45" s="22">
        <f t="shared" si="2"/>
        <v>6.9488908310159462E-8</v>
      </c>
      <c r="F45" s="129">
        <f t="shared" si="3"/>
        <v>0</v>
      </c>
      <c r="G45" s="22">
        <v>6.9488908310159502E-8</v>
      </c>
      <c r="H45" s="21">
        <f t="shared" si="4"/>
        <v>22.2</v>
      </c>
      <c r="I45" s="21">
        <v>22.2</v>
      </c>
      <c r="J45" s="23" t="s">
        <v>24</v>
      </c>
      <c r="K45" s="23" t="s">
        <v>24</v>
      </c>
      <c r="L45" s="22">
        <v>4.4178628125000002E-7</v>
      </c>
      <c r="M45" s="207">
        <f t="shared" si="6"/>
        <v>4.4178628124673551E-7</v>
      </c>
      <c r="N45" s="231">
        <f t="shared" si="5"/>
        <v>3.2645179182772769E-18</v>
      </c>
    </row>
    <row r="46" spans="1:14" x14ac:dyDescent="0.45">
      <c r="B46" s="195">
        <v>0</v>
      </c>
      <c r="C46" s="111">
        <v>10</v>
      </c>
      <c r="D46" s="12">
        <v>20</v>
      </c>
      <c r="E46" s="22">
        <f t="shared" si="2"/>
        <v>1.4592670745133486E-7</v>
      </c>
      <c r="F46" s="129">
        <f t="shared" si="3"/>
        <v>0</v>
      </c>
      <c r="G46" s="22">
        <v>1.45926707451335E-7</v>
      </c>
      <c r="H46" s="21">
        <f t="shared" si="4"/>
        <v>20</v>
      </c>
      <c r="I46" s="21">
        <v>20</v>
      </c>
      <c r="J46" s="23" t="s">
        <v>24</v>
      </c>
      <c r="K46" s="23" t="s">
        <v>24</v>
      </c>
      <c r="L46" s="22">
        <v>9.5367431641000003E-7</v>
      </c>
      <c r="M46" s="207">
        <f t="shared" si="6"/>
        <v>9.5367431640625E-7</v>
      </c>
      <c r="N46" s="231">
        <f t="shared" si="5"/>
        <v>3.7500266157316012E-18</v>
      </c>
    </row>
    <row r="47" spans="1:14" x14ac:dyDescent="0.45">
      <c r="B47" s="195">
        <v>0</v>
      </c>
      <c r="C47" s="111">
        <v>11</v>
      </c>
      <c r="D47" s="12">
        <v>19</v>
      </c>
      <c r="E47" s="22">
        <f t="shared" si="2"/>
        <v>2.6532128627515431E-7</v>
      </c>
      <c r="F47" s="129">
        <f t="shared" si="3"/>
        <v>0</v>
      </c>
      <c r="G47" s="22">
        <v>2.65321286275154E-7</v>
      </c>
      <c r="H47" s="21">
        <f t="shared" si="4"/>
        <v>18.2</v>
      </c>
      <c r="I47" s="21">
        <v>18.2</v>
      </c>
      <c r="J47" s="23" t="s">
        <v>24</v>
      </c>
      <c r="K47" s="23" t="s">
        <v>24</v>
      </c>
      <c r="L47" s="22">
        <v>1.7715852068E-6</v>
      </c>
      <c r="M47" s="207">
        <f t="shared" si="6"/>
        <v>1.7715852068019011E-6</v>
      </c>
      <c r="N47" s="231">
        <f t="shared" si="5"/>
        <v>-1.9011654501122771E-18</v>
      </c>
    </row>
    <row r="48" spans="1:14" x14ac:dyDescent="0.45">
      <c r="B48" s="195">
        <v>0</v>
      </c>
      <c r="C48" s="111">
        <v>12</v>
      </c>
      <c r="D48" s="12">
        <v>18</v>
      </c>
      <c r="E48" s="22">
        <f t="shared" si="2"/>
        <v>4.2009203660232764E-7</v>
      </c>
      <c r="F48" s="129">
        <f t="shared" si="3"/>
        <v>0</v>
      </c>
      <c r="G48" s="22">
        <v>4.2009203660232801E-7</v>
      </c>
      <c r="H48" s="21">
        <f t="shared" si="4"/>
        <v>16.8</v>
      </c>
      <c r="I48" s="21">
        <v>16.8</v>
      </c>
      <c r="J48" s="23" t="s">
        <v>24</v>
      </c>
      <c r="K48" s="23" t="s">
        <v>24</v>
      </c>
      <c r="L48" s="22">
        <v>2.8504928472799999E-6</v>
      </c>
      <c r="M48" s="207">
        <f t="shared" si="6"/>
        <v>2.8504928472754814E-6</v>
      </c>
      <c r="N48" s="231">
        <f t="shared" si="5"/>
        <v>4.5184972571280652E-18</v>
      </c>
    </row>
    <row r="49" spans="2:14" x14ac:dyDescent="0.45">
      <c r="B49" s="195">
        <v>0</v>
      </c>
      <c r="C49" s="111">
        <v>13</v>
      </c>
      <c r="D49" s="12">
        <v>17</v>
      </c>
      <c r="E49" s="22">
        <f t="shared" si="2"/>
        <v>5.8166589683399217E-7</v>
      </c>
      <c r="F49" s="129">
        <f t="shared" si="3"/>
        <v>0</v>
      </c>
      <c r="G49" s="22">
        <v>5.8166589683399196E-7</v>
      </c>
      <c r="H49" s="21">
        <f t="shared" si="4"/>
        <v>15.8</v>
      </c>
      <c r="I49" s="21">
        <v>15.8</v>
      </c>
      <c r="J49" s="23" t="s">
        <v>24</v>
      </c>
      <c r="K49" s="23" t="s">
        <v>24</v>
      </c>
      <c r="L49" s="22">
        <v>3.99121163143E-6</v>
      </c>
      <c r="M49" s="207">
        <f t="shared" si="6"/>
        <v>3.9912116314326267E-6</v>
      </c>
      <c r="N49" s="231">
        <f t="shared" si="5"/>
        <v>-2.6266491694355854E-18</v>
      </c>
    </row>
    <row r="50" spans="2:14" x14ac:dyDescent="0.45">
      <c r="B50" s="195">
        <v>0</v>
      </c>
      <c r="C50" s="111">
        <v>14</v>
      </c>
      <c r="D50" s="12">
        <v>16</v>
      </c>
      <c r="E50" s="22">
        <f t="shared" si="2"/>
        <v>7.0630858901270469E-7</v>
      </c>
      <c r="F50" s="129">
        <f t="shared" si="3"/>
        <v>0</v>
      </c>
      <c r="G50" s="22">
        <v>7.0630858901270501E-7</v>
      </c>
      <c r="H50" s="21">
        <f t="shared" si="4"/>
        <v>15.2</v>
      </c>
      <c r="I50" s="21">
        <v>15.2</v>
      </c>
      <c r="J50" s="23" t="s">
        <v>24</v>
      </c>
      <c r="K50" s="23" t="s">
        <v>24</v>
      </c>
      <c r="L50" s="22">
        <v>4.8785164979900002E-6</v>
      </c>
      <c r="M50" s="207">
        <f t="shared" si="6"/>
        <v>4.8785164979911624E-6</v>
      </c>
      <c r="N50" s="231">
        <f t="shared" si="5"/>
        <v>-1.1621292036329001E-18</v>
      </c>
    </row>
    <row r="51" spans="2:14" x14ac:dyDescent="0.45">
      <c r="B51" s="195">
        <v>0</v>
      </c>
      <c r="C51" s="111">
        <v>15</v>
      </c>
      <c r="D51" s="12">
        <v>15</v>
      </c>
      <c r="E51" s="22">
        <f t="shared" si="2"/>
        <v>7.5339582828021837E-7</v>
      </c>
      <c r="F51" s="129">
        <f t="shared" si="3"/>
        <v>0</v>
      </c>
      <c r="G51" s="22">
        <v>7.53395828280219E-7</v>
      </c>
      <c r="H51" s="21">
        <f t="shared" si="4"/>
        <v>15</v>
      </c>
      <c r="I51" s="21">
        <v>15</v>
      </c>
      <c r="J51" s="23" t="s">
        <v>24</v>
      </c>
      <c r="K51" s="23" t="s">
        <v>24</v>
      </c>
      <c r="L51" s="22">
        <v>5.21509505085E-6</v>
      </c>
      <c r="M51" s="207">
        <f t="shared" si="6"/>
        <v>5.2150950508465636E-6</v>
      </c>
      <c r="N51" s="231">
        <f t="shared" si="5"/>
        <v>3.4364126670106965E-18</v>
      </c>
    </row>
    <row r="52" spans="2:14" x14ac:dyDescent="0.45">
      <c r="B52" s="195">
        <v>0</v>
      </c>
      <c r="C52" s="111">
        <v>16</v>
      </c>
      <c r="D52" s="12">
        <v>14</v>
      </c>
      <c r="E52" s="22">
        <f t="shared" si="2"/>
        <v>7.0630858901270469E-7</v>
      </c>
      <c r="F52" s="129">
        <f t="shared" si="3"/>
        <v>0</v>
      </c>
      <c r="G52" s="22">
        <v>7.0630858901270501E-7</v>
      </c>
      <c r="H52" s="21">
        <f t="shared" si="4"/>
        <v>15.2</v>
      </c>
      <c r="I52" s="21">
        <v>15.2</v>
      </c>
      <c r="J52" s="23" t="s">
        <v>24</v>
      </c>
      <c r="K52" s="23" t="s">
        <v>24</v>
      </c>
      <c r="L52" s="22">
        <v>4.8785164979900002E-6</v>
      </c>
      <c r="M52" s="207">
        <f t="shared" si="6"/>
        <v>4.8785164979911624E-6</v>
      </c>
      <c r="N52" s="231">
        <f t="shared" si="5"/>
        <v>-1.1621292036329001E-18</v>
      </c>
    </row>
    <row r="53" spans="2:14" x14ac:dyDescent="0.45">
      <c r="B53" s="195">
        <v>0</v>
      </c>
      <c r="C53" s="111">
        <v>17</v>
      </c>
      <c r="D53" s="12">
        <v>13</v>
      </c>
      <c r="E53" s="22">
        <f t="shared" si="2"/>
        <v>5.8166589683399217E-7</v>
      </c>
      <c r="F53" s="129">
        <f t="shared" si="3"/>
        <v>0</v>
      </c>
      <c r="G53" s="22">
        <v>5.8166589683399196E-7</v>
      </c>
      <c r="H53" s="21">
        <f t="shared" si="4"/>
        <v>15.8</v>
      </c>
      <c r="I53" s="21">
        <v>15.8</v>
      </c>
      <c r="J53" s="23" t="s">
        <v>24</v>
      </c>
      <c r="K53" s="23" t="s">
        <v>24</v>
      </c>
      <c r="L53" s="22">
        <v>3.99121163143E-6</v>
      </c>
      <c r="M53" s="207">
        <f t="shared" si="6"/>
        <v>3.9912116314326267E-6</v>
      </c>
      <c r="N53" s="231">
        <f t="shared" si="5"/>
        <v>-2.6266491694355854E-18</v>
      </c>
    </row>
    <row r="54" spans="2:14" x14ac:dyDescent="0.45">
      <c r="B54" s="195">
        <v>0</v>
      </c>
      <c r="C54" s="111">
        <v>18</v>
      </c>
      <c r="D54" s="12">
        <v>12</v>
      </c>
      <c r="E54" s="22">
        <f t="shared" si="2"/>
        <v>4.2009203660232764E-7</v>
      </c>
      <c r="F54" s="129">
        <f t="shared" si="3"/>
        <v>0</v>
      </c>
      <c r="G54" s="22">
        <v>4.2009203660232801E-7</v>
      </c>
      <c r="H54" s="21">
        <f t="shared" si="4"/>
        <v>16.8</v>
      </c>
      <c r="I54" s="21">
        <v>16.8</v>
      </c>
      <c r="J54" s="23" t="s">
        <v>24</v>
      </c>
      <c r="K54" s="23" t="s">
        <v>24</v>
      </c>
      <c r="L54" s="22">
        <v>2.8504928472799999E-6</v>
      </c>
      <c r="M54" s="207">
        <f t="shared" si="6"/>
        <v>2.8504928472754814E-6</v>
      </c>
      <c r="N54" s="231">
        <f t="shared" si="5"/>
        <v>4.5184972571280652E-18</v>
      </c>
    </row>
    <row r="55" spans="2:14" x14ac:dyDescent="0.45">
      <c r="B55" s="195">
        <v>0</v>
      </c>
      <c r="C55" s="111">
        <v>19</v>
      </c>
      <c r="D55" s="12">
        <v>11</v>
      </c>
      <c r="E55" s="22">
        <f t="shared" si="2"/>
        <v>2.6532128627515431E-7</v>
      </c>
      <c r="F55" s="129">
        <f t="shared" si="3"/>
        <v>0</v>
      </c>
      <c r="G55" s="22">
        <v>2.65321286275154E-7</v>
      </c>
      <c r="H55" s="21">
        <f t="shared" si="4"/>
        <v>18.2</v>
      </c>
      <c r="I55" s="21">
        <v>18.2</v>
      </c>
      <c r="J55" s="23" t="s">
        <v>24</v>
      </c>
      <c r="K55" s="23" t="s">
        <v>24</v>
      </c>
      <c r="L55" s="22">
        <v>1.7715852068E-6</v>
      </c>
      <c r="M55" s="207">
        <f t="shared" si="6"/>
        <v>1.7715852068019011E-6</v>
      </c>
      <c r="N55" s="231">
        <f t="shared" si="5"/>
        <v>-1.9011654501122771E-18</v>
      </c>
    </row>
    <row r="56" spans="2:14" x14ac:dyDescent="0.45">
      <c r="B56" s="195">
        <v>0</v>
      </c>
      <c r="C56" s="111">
        <v>20</v>
      </c>
      <c r="D56" s="12">
        <v>10</v>
      </c>
      <c r="E56" s="22">
        <f t="shared" si="2"/>
        <v>1.4592670745133486E-7</v>
      </c>
      <c r="F56" s="129">
        <f t="shared" si="3"/>
        <v>0</v>
      </c>
      <c r="G56" s="22">
        <v>1.45926707451335E-7</v>
      </c>
      <c r="H56" s="21">
        <f t="shared" si="4"/>
        <v>20</v>
      </c>
      <c r="I56" s="21">
        <v>20</v>
      </c>
      <c r="J56" s="23" t="s">
        <v>24</v>
      </c>
      <c r="K56" s="23" t="s">
        <v>24</v>
      </c>
      <c r="L56" s="22">
        <v>9.5367431641000003E-7</v>
      </c>
      <c r="M56" s="207">
        <f t="shared" si="6"/>
        <v>9.5367431640625E-7</v>
      </c>
      <c r="N56" s="231">
        <f t="shared" si="5"/>
        <v>3.7500266157316012E-18</v>
      </c>
    </row>
    <row r="57" spans="2:14" x14ac:dyDescent="0.45">
      <c r="B57" s="195">
        <v>0</v>
      </c>
      <c r="C57" s="111">
        <v>21</v>
      </c>
      <c r="D57" s="12">
        <v>9</v>
      </c>
      <c r="E57" s="22">
        <f t="shared" si="2"/>
        <v>6.9488908310159462E-8</v>
      </c>
      <c r="F57" s="129">
        <f t="shared" si="3"/>
        <v>0</v>
      </c>
      <c r="G57" s="22">
        <v>6.9488908310159502E-8</v>
      </c>
      <c r="H57" s="21">
        <f t="shared" si="4"/>
        <v>22.2</v>
      </c>
      <c r="I57" s="21">
        <v>22.2</v>
      </c>
      <c r="J57" s="23" t="s">
        <v>24</v>
      </c>
      <c r="K57" s="23" t="s">
        <v>24</v>
      </c>
      <c r="L57" s="22">
        <v>4.4178628125000002E-7</v>
      </c>
      <c r="M57" s="207">
        <f t="shared" si="6"/>
        <v>4.4178628124673551E-7</v>
      </c>
      <c r="N57" s="231">
        <f t="shared" si="5"/>
        <v>3.2645179182772769E-18</v>
      </c>
    </row>
    <row r="58" spans="2:14" x14ac:dyDescent="0.45">
      <c r="B58" s="195">
        <v>0</v>
      </c>
      <c r="C58" s="111">
        <v>22</v>
      </c>
      <c r="D58" s="12">
        <v>8</v>
      </c>
      <c r="E58" s="22">
        <f t="shared" si="2"/>
        <v>2.8427280672337964E-8</v>
      </c>
      <c r="F58" s="129">
        <f t="shared" si="3"/>
        <v>3.6395946952333218E-23</v>
      </c>
      <c r="G58" s="22">
        <v>2.8427280672338001E-8</v>
      </c>
      <c r="H58" s="21">
        <f t="shared" si="4"/>
        <v>24.8</v>
      </c>
      <c r="I58" s="21">
        <v>24.8</v>
      </c>
      <c r="J58" s="23" t="s">
        <v>24</v>
      </c>
      <c r="K58" s="23" t="s">
        <v>24</v>
      </c>
      <c r="L58" s="22">
        <v>1.7457462827999999E-7</v>
      </c>
      <c r="M58" s="207">
        <f t="shared" si="6"/>
        <v>1.745746282803E-7</v>
      </c>
      <c r="N58" s="231">
        <f t="shared" si="5"/>
        <v>-3.000084820056325E-19</v>
      </c>
    </row>
    <row r="59" spans="2:14" x14ac:dyDescent="0.45">
      <c r="B59" s="195">
        <v>0</v>
      </c>
      <c r="C59" s="111">
        <v>23</v>
      </c>
      <c r="D59" s="12">
        <v>7</v>
      </c>
      <c r="E59" s="22">
        <f t="shared" si="2"/>
        <v>9.8877497990740741E-9</v>
      </c>
      <c r="F59" s="129">
        <f t="shared" si="3"/>
        <v>0</v>
      </c>
      <c r="G59" s="22">
        <v>9.8877497990740807E-9</v>
      </c>
      <c r="H59" s="21">
        <f t="shared" si="4"/>
        <v>27.8</v>
      </c>
      <c r="I59" s="21">
        <v>27.8</v>
      </c>
      <c r="J59" s="23" t="s">
        <v>24</v>
      </c>
      <c r="K59" s="23" t="s">
        <v>24</v>
      </c>
      <c r="L59" s="22">
        <v>5.8153183100000002E-8</v>
      </c>
      <c r="M59" s="207">
        <f t="shared" si="6"/>
        <v>5.8153183104462032E-8</v>
      </c>
      <c r="N59" s="231">
        <f t="shared" si="5"/>
        <v>-4.4620305997927453E-18</v>
      </c>
    </row>
    <row r="60" spans="2:14" x14ac:dyDescent="0.45">
      <c r="B60" s="195">
        <v>0</v>
      </c>
      <c r="C60" s="111">
        <v>24</v>
      </c>
      <c r="D60" s="12">
        <v>6</v>
      </c>
      <c r="E60" s="22">
        <f t="shared" si="2"/>
        <v>2.8839270247299382E-9</v>
      </c>
      <c r="F60" s="129">
        <f t="shared" si="3"/>
        <v>0</v>
      </c>
      <c r="G60" s="22">
        <v>2.8839270247299399E-9</v>
      </c>
      <c r="H60" s="21">
        <f t="shared" si="4"/>
        <v>31.2</v>
      </c>
      <c r="I60" s="21">
        <v>31.2</v>
      </c>
      <c r="J60" s="23" t="s">
        <v>24</v>
      </c>
      <c r="K60" s="23" t="s">
        <v>24</v>
      </c>
      <c r="L60" s="22">
        <v>1.6070252350000001E-8</v>
      </c>
      <c r="M60" s="207">
        <f t="shared" si="6"/>
        <v>1.6070252354001722E-8</v>
      </c>
      <c r="N60" s="231">
        <f t="shared" si="5"/>
        <v>-4.0017211325192364E-18</v>
      </c>
    </row>
    <row r="61" spans="2:14" x14ac:dyDescent="0.45">
      <c r="B61" s="195">
        <v>0</v>
      </c>
      <c r="C61" s="111">
        <v>25</v>
      </c>
      <c r="D61" s="12">
        <v>5</v>
      </c>
      <c r="E61" s="22">
        <f t="shared" si="2"/>
        <v>6.9214248593518523E-10</v>
      </c>
      <c r="F61" s="129">
        <f t="shared" si="3"/>
        <v>0</v>
      </c>
      <c r="G61" s="22">
        <v>6.9214248593518502E-10</v>
      </c>
      <c r="H61" s="21">
        <f t="shared" si="4"/>
        <v>35</v>
      </c>
      <c r="I61" s="21">
        <v>35</v>
      </c>
      <c r="J61" s="23" t="s">
        <v>24</v>
      </c>
      <c r="K61" s="23" t="s">
        <v>24</v>
      </c>
      <c r="L61" s="22">
        <v>3.6028797000000002E-9</v>
      </c>
      <c r="M61" s="207">
        <f t="shared" si="6"/>
        <v>3.6028797018963965E-9</v>
      </c>
      <c r="N61" s="231">
        <f t="shared" si="5"/>
        <v>-1.8963963402906026E-18</v>
      </c>
    </row>
    <row r="62" spans="2:14" x14ac:dyDescent="0.45">
      <c r="B62" s="195">
        <v>0</v>
      </c>
      <c r="C62" s="111">
        <v>26</v>
      </c>
      <c r="D62" s="12">
        <v>4</v>
      </c>
      <c r="E62" s="22">
        <f t="shared" si="2"/>
        <v>1.331043242183048E-10</v>
      </c>
      <c r="F62" s="129">
        <f t="shared" si="3"/>
        <v>2.0679515313825692E-25</v>
      </c>
      <c r="G62" s="22">
        <v>1.3310432421830501E-10</v>
      </c>
      <c r="H62" s="21">
        <f t="shared" si="4"/>
        <v>39.200000000000003</v>
      </c>
      <c r="I62" s="21">
        <v>39.200000000000003</v>
      </c>
      <c r="J62" s="23" t="s">
        <v>24</v>
      </c>
      <c r="K62" s="23" t="s">
        <v>24</v>
      </c>
      <c r="L62" s="22">
        <v>6.3453120999999999E-10</v>
      </c>
      <c r="M62" s="207">
        <f t="shared" si="6"/>
        <v>6.3453120900366684E-10</v>
      </c>
      <c r="N62" s="231">
        <f t="shared" si="5"/>
        <v>9.9633315415825739E-19</v>
      </c>
    </row>
    <row r="63" spans="2:14" x14ac:dyDescent="0.45">
      <c r="B63" s="195">
        <v>0</v>
      </c>
      <c r="C63" s="111">
        <v>27</v>
      </c>
      <c r="D63" s="12">
        <v>3</v>
      </c>
      <c r="E63" s="22">
        <f t="shared" si="2"/>
        <v>1.971915914345257E-11</v>
      </c>
      <c r="F63" s="129">
        <f t="shared" si="3"/>
        <v>2.9080568410067379E-26</v>
      </c>
      <c r="G63" s="22">
        <v>1.9719159143452599E-11</v>
      </c>
      <c r="H63" s="21">
        <f t="shared" si="4"/>
        <v>43.8</v>
      </c>
      <c r="I63" s="21">
        <v>43.8</v>
      </c>
      <c r="J63" s="23" t="s">
        <v>24</v>
      </c>
      <c r="K63" s="23" t="s">
        <v>24</v>
      </c>
      <c r="L63" s="22">
        <v>8.3524640000000003E-11</v>
      </c>
      <c r="M63" s="207">
        <f t="shared" si="6"/>
        <v>8.352463828623908E-11</v>
      </c>
      <c r="N63" s="231">
        <f t="shared" si="5"/>
        <v>1.7137609227218205E-18</v>
      </c>
    </row>
    <row r="64" spans="2:14" x14ac:dyDescent="0.45">
      <c r="B64" s="195">
        <v>0</v>
      </c>
      <c r="C64" s="111">
        <v>28</v>
      </c>
      <c r="D64" s="12">
        <v>2</v>
      </c>
      <c r="E64" s="22">
        <f t="shared" si="2"/>
        <v>2.1127670510842044E-12</v>
      </c>
      <c r="F64" s="129">
        <f t="shared" si="3"/>
        <v>-4.4428646182047385E-27</v>
      </c>
      <c r="G64" s="22">
        <v>2.1127670510841999E-12</v>
      </c>
      <c r="H64" s="21">
        <f t="shared" si="4"/>
        <v>48.8</v>
      </c>
      <c r="I64" s="21">
        <v>48.8</v>
      </c>
      <c r="J64" s="23" t="s">
        <v>24</v>
      </c>
      <c r="K64" s="23" t="s">
        <v>24</v>
      </c>
      <c r="L64" s="22">
        <v>7.5424999999999994E-12</v>
      </c>
      <c r="M64" s="207">
        <f t="shared" si="6"/>
        <v>7.542496739176126E-12</v>
      </c>
      <c r="N64" s="231">
        <f t="shared" si="5"/>
        <v>3.26082387344887E-18</v>
      </c>
    </row>
    <row r="65" spans="2:14" x14ac:dyDescent="0.45">
      <c r="B65" s="195">
        <v>0</v>
      </c>
      <c r="C65" s="111">
        <v>29</v>
      </c>
      <c r="D65" s="12">
        <v>1</v>
      </c>
      <c r="E65" s="22">
        <f t="shared" si="2"/>
        <v>1.457080724885658E-13</v>
      </c>
      <c r="F65" s="129">
        <f t="shared" si="3"/>
        <v>2.0194839173657902E-28</v>
      </c>
      <c r="G65" s="22">
        <v>1.4570807248856601E-13</v>
      </c>
      <c r="H65" s="21">
        <f t="shared" si="4"/>
        <v>54.2</v>
      </c>
      <c r="I65" s="21">
        <v>54.2</v>
      </c>
      <c r="J65" s="23" t="s">
        <v>24</v>
      </c>
      <c r="K65" s="23" t="s">
        <v>24</v>
      </c>
      <c r="L65" s="22">
        <v>3.8945999999999999E-13</v>
      </c>
      <c r="M65" s="207">
        <f t="shared" si="6"/>
        <v>3.8945569682215584E-13</v>
      </c>
      <c r="N65" s="231">
        <f t="shared" si="5"/>
        <v>4.3031778441487649E-18</v>
      </c>
    </row>
    <row r="66" spans="2:14" x14ac:dyDescent="0.45">
      <c r="B66" s="195">
        <v>0</v>
      </c>
      <c r="C66" s="111">
        <v>30</v>
      </c>
      <c r="D66" s="12">
        <v>0</v>
      </c>
      <c r="E66" s="22">
        <f t="shared" si="2"/>
        <v>4.8569357496188583E-15</v>
      </c>
      <c r="F66" s="129">
        <f t="shared" si="3"/>
        <v>0</v>
      </c>
      <c r="G66" s="22">
        <v>4.8569357496188599E-15</v>
      </c>
      <c r="H66" s="21">
        <f t="shared" si="4"/>
        <v>60</v>
      </c>
      <c r="I66" s="21">
        <v>60</v>
      </c>
      <c r="J66" s="23" t="s">
        <v>24</v>
      </c>
      <c r="K66" s="23" t="s">
        <v>24</v>
      </c>
      <c r="L66" s="22">
        <v>4.8600000000000001E-15</v>
      </c>
      <c r="M66" s="207">
        <f>1/(((C66/10)^C66))</f>
        <v>4.8569357496188614E-15</v>
      </c>
      <c r="N66" s="231">
        <f t="shared" si="5"/>
        <v>3.0642503811386576E-18</v>
      </c>
    </row>
    <row r="67" spans="2:14" x14ac:dyDescent="0.45">
      <c r="B67" s="12">
        <v>1</v>
      </c>
      <c r="C67" s="229">
        <v>0</v>
      </c>
      <c r="D67" s="12">
        <v>29</v>
      </c>
      <c r="E67" s="22">
        <f t="shared" si="2"/>
        <v>1.457080724885658E-13</v>
      </c>
      <c r="F67" s="129">
        <f t="shared" si="3"/>
        <v>2.0194839173657902E-28</v>
      </c>
      <c r="G67" s="22">
        <v>1.4570807248856601E-13</v>
      </c>
      <c r="H67" s="21">
        <f t="shared" si="4"/>
        <v>54.2</v>
      </c>
      <c r="I67" s="21">
        <v>54.2</v>
      </c>
      <c r="J67" s="23" t="s">
        <v>24</v>
      </c>
      <c r="K67" s="23" t="s">
        <v>24</v>
      </c>
      <c r="L67" s="22">
        <v>3.8945999999999999E-13</v>
      </c>
      <c r="M67" s="207">
        <f>1/(((B67/10)^B67)*((D67/10)^D67))</f>
        <v>3.8945569682215584E-13</v>
      </c>
      <c r="N67" s="231">
        <f t="shared" si="5"/>
        <v>4.3031778441487649E-18</v>
      </c>
    </row>
    <row r="68" spans="2:14" x14ac:dyDescent="0.45">
      <c r="B68" s="12">
        <v>1</v>
      </c>
      <c r="C68" s="111">
        <v>1</v>
      </c>
      <c r="D68" s="12">
        <v>28</v>
      </c>
      <c r="E68" s="22">
        <f t="shared" si="2"/>
        <v>4.2255341021684088E-12</v>
      </c>
      <c r="F68" s="129">
        <f t="shared" si="3"/>
        <v>0</v>
      </c>
      <c r="G68" s="22">
        <v>4.2255341021684104E-12</v>
      </c>
      <c r="H68" s="21">
        <f t="shared" si="4"/>
        <v>48.6</v>
      </c>
      <c r="I68" s="21">
        <v>48.6</v>
      </c>
      <c r="J68" s="23" t="s">
        <v>24</v>
      </c>
      <c r="K68" s="23" t="s">
        <v>24</v>
      </c>
      <c r="L68" s="22">
        <v>3.0169989999999998E-11</v>
      </c>
      <c r="M68" s="134">
        <f t="shared" ref="M68:M100" si="7">1/(((B68/10)^B68)*((C68/10)^C68)*((D68/10)^D68))</f>
        <v>3.0169986956704504E-11</v>
      </c>
      <c r="N68" s="231">
        <f t="shared" si="5"/>
        <v>3.0432954944851763E-18</v>
      </c>
    </row>
    <row r="69" spans="2:14" x14ac:dyDescent="0.45">
      <c r="B69" s="12">
        <v>1</v>
      </c>
      <c r="C69" s="111">
        <v>2</v>
      </c>
      <c r="D69" s="12">
        <v>27</v>
      </c>
      <c r="E69" s="22">
        <f t="shared" si="2"/>
        <v>5.9157477430357713E-11</v>
      </c>
      <c r="F69" s="129">
        <f t="shared" si="3"/>
        <v>0</v>
      </c>
      <c r="G69" s="22">
        <v>5.91574774303577E-11</v>
      </c>
      <c r="H69" s="21">
        <f t="shared" si="4"/>
        <v>43.4</v>
      </c>
      <c r="I69" s="21">
        <v>43.4</v>
      </c>
      <c r="J69" s="23" t="s">
        <v>24</v>
      </c>
      <c r="K69" s="23" t="s">
        <v>24</v>
      </c>
      <c r="L69" s="22">
        <v>5.6379131000000002E-10</v>
      </c>
      <c r="M69" s="134">
        <f t="shared" si="7"/>
        <v>5.637913084321137E-10</v>
      </c>
      <c r="N69" s="231">
        <f t="shared" si="5"/>
        <v>1.5678863163036899E-18</v>
      </c>
    </row>
    <row r="70" spans="2:14" x14ac:dyDescent="0.45">
      <c r="B70" s="12">
        <v>1</v>
      </c>
      <c r="C70" s="111">
        <v>3</v>
      </c>
      <c r="D70" s="12">
        <v>26</v>
      </c>
      <c r="E70" s="22">
        <f t="shared" si="2"/>
        <v>5.3241729687321921E-10</v>
      </c>
      <c r="F70" s="129">
        <f t="shared" si="3"/>
        <v>8.2718061255302767E-25</v>
      </c>
      <c r="G70" s="22">
        <v>5.3241729687322004E-10</v>
      </c>
      <c r="H70" s="21">
        <f t="shared" si="4"/>
        <v>38.6</v>
      </c>
      <c r="I70" s="21">
        <v>38.6</v>
      </c>
      <c r="J70" s="23" t="s">
        <v>24</v>
      </c>
      <c r="K70" s="23" t="s">
        <v>24</v>
      </c>
      <c r="L70" s="22">
        <v>6.0162959099999998E-9</v>
      </c>
      <c r="M70" s="134">
        <f t="shared" si="7"/>
        <v>6.0162959075903259E-9</v>
      </c>
      <c r="N70" s="231">
        <f t="shared" si="5"/>
        <v>2.4096739044986383E-18</v>
      </c>
    </row>
    <row r="71" spans="2:14" x14ac:dyDescent="0.45">
      <c r="B71" s="12">
        <v>1</v>
      </c>
      <c r="C71" s="111">
        <v>4</v>
      </c>
      <c r="D71" s="12">
        <v>25</v>
      </c>
      <c r="E71" s="22">
        <f t="shared" si="2"/>
        <v>3.4607124296759264E-9</v>
      </c>
      <c r="F71" s="129">
        <f t="shared" si="3"/>
        <v>3.7223127564886245E-24</v>
      </c>
      <c r="G71" s="22">
        <v>3.4607124296759301E-9</v>
      </c>
      <c r="H71" s="21">
        <f t="shared" si="4"/>
        <v>34.200000000000003</v>
      </c>
      <c r="I71" s="21">
        <v>34.200000000000003</v>
      </c>
      <c r="J71" s="23" t="s">
        <v>24</v>
      </c>
      <c r="K71" s="23" t="s">
        <v>24</v>
      </c>
      <c r="L71" s="22">
        <v>4.398046511E-8</v>
      </c>
      <c r="M71" s="134">
        <f t="shared" si="7"/>
        <v>4.3980465111039971E-8</v>
      </c>
      <c r="N71" s="231">
        <f t="shared" si="5"/>
        <v>-1.0399711707710689E-18</v>
      </c>
    </row>
    <row r="72" spans="2:14" x14ac:dyDescent="0.45">
      <c r="B72" s="12">
        <v>1</v>
      </c>
      <c r="C72" s="111">
        <v>5</v>
      </c>
      <c r="D72" s="12">
        <v>24</v>
      </c>
      <c r="E72" s="22">
        <f t="shared" si="2"/>
        <v>1.7303562148379628E-8</v>
      </c>
      <c r="F72" s="129">
        <f t="shared" si="3"/>
        <v>-2.9778502051908996E-23</v>
      </c>
      <c r="G72" s="22">
        <v>1.7303562148379599E-8</v>
      </c>
      <c r="H72" s="21">
        <f t="shared" si="4"/>
        <v>30.2</v>
      </c>
      <c r="I72" s="21">
        <v>30.2</v>
      </c>
      <c r="J72" s="23" t="s">
        <v>24</v>
      </c>
      <c r="K72" s="23" t="s">
        <v>24</v>
      </c>
      <c r="L72" s="22">
        <v>2.3992758203000002E-7</v>
      </c>
      <c r="M72" s="134">
        <f t="shared" si="7"/>
        <v>2.3992758202505737E-7</v>
      </c>
      <c r="N72" s="231">
        <f t="shared" si="5"/>
        <v>4.9426490054656561E-18</v>
      </c>
    </row>
    <row r="73" spans="2:14" x14ac:dyDescent="0.45">
      <c r="B73" s="12">
        <v>1</v>
      </c>
      <c r="C73" s="111">
        <v>6</v>
      </c>
      <c r="D73" s="12">
        <v>23</v>
      </c>
      <c r="E73" s="22">
        <f t="shared" si="2"/>
        <v>6.9214248593518514E-8</v>
      </c>
      <c r="F73" s="129">
        <f t="shared" si="3"/>
        <v>0</v>
      </c>
      <c r="G73" s="22">
        <v>6.9214248593518501E-8</v>
      </c>
      <c r="H73" s="21">
        <f t="shared" si="4"/>
        <v>26.6</v>
      </c>
      <c r="I73" s="21">
        <v>26.6</v>
      </c>
      <c r="J73" s="23" t="s">
        <v>24</v>
      </c>
      <c r="K73" s="23" t="s">
        <v>24</v>
      </c>
      <c r="L73" s="22">
        <v>1.02648420082E-6</v>
      </c>
      <c r="M73" s="134">
        <f t="shared" si="7"/>
        <v>1.0264842008187146E-6</v>
      </c>
      <c r="N73" s="231">
        <f t="shared" si="5"/>
        <v>1.2853724974584008E-18</v>
      </c>
    </row>
    <row r="74" spans="2:14" x14ac:dyDescent="0.45">
      <c r="B74" s="12">
        <v>1</v>
      </c>
      <c r="C74" s="111">
        <v>7</v>
      </c>
      <c r="D74" s="12">
        <v>22</v>
      </c>
      <c r="E74" s="22">
        <f t="shared" si="2"/>
        <v>2.2741824537870371E-7</v>
      </c>
      <c r="F74" s="129">
        <f t="shared" si="3"/>
        <v>2.9116757561866574E-22</v>
      </c>
      <c r="G74" s="22">
        <v>2.27418245378704E-7</v>
      </c>
      <c r="H74" s="21">
        <f t="shared" si="4"/>
        <v>23.4</v>
      </c>
      <c r="I74" s="21">
        <v>23.4</v>
      </c>
      <c r="J74" s="23" t="s">
        <v>24</v>
      </c>
      <c r="K74" s="23" t="s">
        <v>24</v>
      </c>
      <c r="L74" s="22">
        <v>3.5564339042099999E-6</v>
      </c>
      <c r="M74" s="134">
        <f t="shared" si="7"/>
        <v>3.5564339042142376E-6</v>
      </c>
      <c r="N74" s="231">
        <f t="shared" si="5"/>
        <v>-4.2377058351132646E-18</v>
      </c>
    </row>
    <row r="75" spans="2:14" x14ac:dyDescent="0.45">
      <c r="B75" s="12">
        <v>1</v>
      </c>
      <c r="C75" s="111">
        <v>8</v>
      </c>
      <c r="D75" s="12">
        <v>21</v>
      </c>
      <c r="E75" s="22">
        <f t="shared" si="2"/>
        <v>6.2540017479143516E-7</v>
      </c>
      <c r="F75" s="129">
        <f t="shared" si="3"/>
        <v>0</v>
      </c>
      <c r="G75" s="22">
        <v>6.2540017479143505E-7</v>
      </c>
      <c r="H75" s="21">
        <f t="shared" si="4"/>
        <v>20.6</v>
      </c>
      <c r="I75" s="21">
        <v>20.6</v>
      </c>
      <c r="J75" s="23" t="s">
        <v>24</v>
      </c>
      <c r="K75" s="23" t="s">
        <v>24</v>
      </c>
      <c r="L75" s="22">
        <v>1.020175559009E-5</v>
      </c>
      <c r="M75" s="134">
        <f t="shared" si="7"/>
        <v>1.0201755590087278E-5</v>
      </c>
      <c r="N75" s="231">
        <f t="shared" si="5"/>
        <v>2.7223638924753213E-18</v>
      </c>
    </row>
    <row r="76" spans="2:14" x14ac:dyDescent="0.45">
      <c r="B76" s="12">
        <v>1</v>
      </c>
      <c r="C76" s="111">
        <v>9</v>
      </c>
      <c r="D76" s="12">
        <v>20</v>
      </c>
      <c r="E76" s="22">
        <f t="shared" si="2"/>
        <v>1.4592670745133487E-6</v>
      </c>
      <c r="F76" s="129">
        <f t="shared" si="3"/>
        <v>0</v>
      </c>
      <c r="G76" s="22">
        <v>1.45926707451335E-6</v>
      </c>
      <c r="H76" s="21">
        <f t="shared" si="4"/>
        <v>18.2</v>
      </c>
      <c r="I76" s="21">
        <v>18.2</v>
      </c>
      <c r="J76" s="23" t="s">
        <v>24</v>
      </c>
      <c r="K76" s="23" t="s">
        <v>24</v>
      </c>
      <c r="L76" s="22">
        <v>2.4616001050119999E-5</v>
      </c>
      <c r="M76" s="134">
        <f t="shared" si="7"/>
        <v>2.4616001050121269E-5</v>
      </c>
      <c r="N76" s="231">
        <f t="shared" si="5"/>
        <v>-1.2705494208814505E-18</v>
      </c>
    </row>
    <row r="77" spans="2:14" x14ac:dyDescent="0.45">
      <c r="B77" s="12">
        <v>1</v>
      </c>
      <c r="C77" s="111">
        <v>10</v>
      </c>
      <c r="D77" s="12">
        <v>19</v>
      </c>
      <c r="E77" s="22">
        <f t="shared" si="2"/>
        <v>2.9185341490266974E-6</v>
      </c>
      <c r="F77" s="129">
        <f t="shared" si="3"/>
        <v>0</v>
      </c>
      <c r="G77" s="22">
        <v>2.9185341490266999E-6</v>
      </c>
      <c r="H77" s="21">
        <f t="shared" si="4"/>
        <v>16.2</v>
      </c>
      <c r="I77" s="21">
        <v>16.2</v>
      </c>
      <c r="J77" s="23" t="s">
        <v>24</v>
      </c>
      <c r="K77" s="23" t="s">
        <v>24</v>
      </c>
      <c r="L77" s="22">
        <v>5.0545393498239999E-5</v>
      </c>
      <c r="M77" s="134">
        <f t="shared" si="7"/>
        <v>5.0545393498238474E-5</v>
      </c>
      <c r="N77" s="231">
        <f t="shared" si="5"/>
        <v>1.5246593050577406E-18</v>
      </c>
    </row>
    <row r="78" spans="2:14" x14ac:dyDescent="0.45">
      <c r="B78" s="12">
        <v>1</v>
      </c>
      <c r="C78" s="111">
        <v>11</v>
      </c>
      <c r="D78" s="12">
        <v>18</v>
      </c>
      <c r="E78" s="22">
        <f t="shared" si="2"/>
        <v>5.0411044392279319E-6</v>
      </c>
      <c r="F78" s="129">
        <f t="shared" si="3"/>
        <v>0</v>
      </c>
      <c r="G78" s="22">
        <v>5.0411044392279302E-6</v>
      </c>
      <c r="H78" s="21">
        <f t="shared" si="4"/>
        <v>14.6</v>
      </c>
      <c r="I78" s="21">
        <v>14.6</v>
      </c>
      <c r="J78" s="23" t="s">
        <v>24</v>
      </c>
      <c r="K78" s="23" t="s">
        <v>24</v>
      </c>
      <c r="L78" s="22">
        <v>8.9079007875550003E-5</v>
      </c>
      <c r="M78" s="134">
        <f t="shared" si="7"/>
        <v>8.9079007875549353E-5</v>
      </c>
      <c r="N78" s="231">
        <f t="shared" si="5"/>
        <v>6.5052130349130266E-19</v>
      </c>
    </row>
    <row r="79" spans="2:14" x14ac:dyDescent="0.45">
      <c r="B79" s="12">
        <v>1</v>
      </c>
      <c r="C79" s="111">
        <v>12</v>
      </c>
      <c r="D79" s="12">
        <v>17</v>
      </c>
      <c r="E79" s="22">
        <f t="shared" si="2"/>
        <v>7.5616566588418983E-6</v>
      </c>
      <c r="F79" s="129">
        <f t="shared" si="3"/>
        <v>0</v>
      </c>
      <c r="G79" s="22">
        <v>7.5616566588419E-6</v>
      </c>
      <c r="H79" s="21">
        <f t="shared" si="4"/>
        <v>13.4</v>
      </c>
      <c r="I79" s="21">
        <v>13.4</v>
      </c>
      <c r="J79" s="23" t="s">
        <v>24</v>
      </c>
      <c r="K79" s="23" t="s">
        <v>24</v>
      </c>
      <c r="L79" s="22">
        <v>1.3557929896794999E-4</v>
      </c>
      <c r="M79" s="134">
        <f t="shared" si="7"/>
        <v>1.3557929896795275E-4</v>
      </c>
      <c r="N79" s="231">
        <f t="shared" si="5"/>
        <v>-2.7647155398380363E-18</v>
      </c>
    </row>
    <row r="80" spans="2:14" x14ac:dyDescent="0.45">
      <c r="B80" s="12">
        <v>1</v>
      </c>
      <c r="C80" s="111">
        <v>13</v>
      </c>
      <c r="D80" s="12">
        <v>16</v>
      </c>
      <c r="E80" s="22">
        <f t="shared" si="2"/>
        <v>9.8883202461778674E-6</v>
      </c>
      <c r="F80" s="129">
        <f t="shared" si="3"/>
        <v>0</v>
      </c>
      <c r="G80" s="22">
        <v>9.8883202461778708E-6</v>
      </c>
      <c r="H80" s="21">
        <f t="shared" si="4"/>
        <v>12.6</v>
      </c>
      <c r="I80" s="21">
        <v>12.6</v>
      </c>
      <c r="J80" s="23" t="s">
        <v>24</v>
      </c>
      <c r="K80" s="23" t="s">
        <v>24</v>
      </c>
      <c r="L80" s="22">
        <v>1.7898502532681001E-4</v>
      </c>
      <c r="M80" s="134">
        <f t="shared" si="7"/>
        <v>1.7898502532681136E-4</v>
      </c>
      <c r="N80" s="231">
        <f t="shared" si="5"/>
        <v>-1.3552527156068805E-18</v>
      </c>
    </row>
    <row r="81" spans="2:14" x14ac:dyDescent="0.45">
      <c r="B81" s="12">
        <v>1</v>
      </c>
      <c r="C81" s="111">
        <v>14</v>
      </c>
      <c r="D81" s="12">
        <v>15</v>
      </c>
      <c r="E81" s="22">
        <f t="shared" si="2"/>
        <v>1.1300937424203275E-5</v>
      </c>
      <c r="F81" s="129">
        <f t="shared" si="3"/>
        <v>2.541098841762901E-20</v>
      </c>
      <c r="G81" s="22">
        <v>1.1300937424203301E-5</v>
      </c>
      <c r="H81" s="21">
        <f t="shared" si="4"/>
        <v>12.2</v>
      </c>
      <c r="I81" s="21">
        <v>12.2</v>
      </c>
      <c r="J81" s="23" t="s">
        <v>24</v>
      </c>
      <c r="K81" s="23" t="s">
        <v>24</v>
      </c>
      <c r="L81" s="22">
        <v>2.0551267618633E-4</v>
      </c>
      <c r="M81" s="134">
        <f t="shared" si="7"/>
        <v>2.0551267618632786E-4</v>
      </c>
      <c r="N81" s="231">
        <f t="shared" si="5"/>
        <v>2.1412992906588713E-18</v>
      </c>
    </row>
    <row r="82" spans="2:14" x14ac:dyDescent="0.45">
      <c r="B82" s="12">
        <v>1</v>
      </c>
      <c r="C82" s="111">
        <v>15</v>
      </c>
      <c r="D82" s="12">
        <v>14</v>
      </c>
      <c r="E82" s="22">
        <f t="shared" si="2"/>
        <v>1.1300937424203275E-5</v>
      </c>
      <c r="F82" s="129">
        <f t="shared" si="3"/>
        <v>2.541098841762901E-20</v>
      </c>
      <c r="G82" s="22">
        <v>1.1300937424203301E-5</v>
      </c>
      <c r="H82" s="21">
        <f t="shared" si="4"/>
        <v>12.2</v>
      </c>
      <c r="I82" s="21">
        <v>12.2</v>
      </c>
      <c r="J82" s="23" t="s">
        <v>24</v>
      </c>
      <c r="K82" s="23" t="s">
        <v>24</v>
      </c>
      <c r="L82" s="22">
        <v>2.0551267618633E-4</v>
      </c>
      <c r="M82" s="134">
        <f t="shared" si="7"/>
        <v>2.0551267618632786E-4</v>
      </c>
      <c r="N82" s="231">
        <f t="shared" si="5"/>
        <v>2.1412992906588713E-18</v>
      </c>
    </row>
    <row r="83" spans="2:14" x14ac:dyDescent="0.45">
      <c r="B83" s="12">
        <v>1</v>
      </c>
      <c r="C83" s="111">
        <v>16</v>
      </c>
      <c r="D83" s="12">
        <v>13</v>
      </c>
      <c r="E83" s="22">
        <f t="shared" si="2"/>
        <v>9.8883202461778674E-6</v>
      </c>
      <c r="F83" s="129">
        <f t="shared" si="3"/>
        <v>0</v>
      </c>
      <c r="G83" s="22">
        <v>9.8883202461778708E-6</v>
      </c>
      <c r="H83" s="21">
        <f t="shared" si="4"/>
        <v>12.6</v>
      </c>
      <c r="I83" s="21">
        <v>12.6</v>
      </c>
      <c r="J83" s="23" t="s">
        <v>24</v>
      </c>
      <c r="K83" s="23" t="s">
        <v>24</v>
      </c>
      <c r="L83" s="22">
        <v>1.7898502532681001E-4</v>
      </c>
      <c r="M83" s="134">
        <f t="shared" si="7"/>
        <v>1.7898502532681136E-4</v>
      </c>
      <c r="N83" s="231">
        <f t="shared" si="5"/>
        <v>-1.3552527156068805E-18</v>
      </c>
    </row>
    <row r="84" spans="2:14" x14ac:dyDescent="0.45">
      <c r="B84" s="12">
        <v>1</v>
      </c>
      <c r="C84" s="111">
        <v>17</v>
      </c>
      <c r="D84" s="12">
        <v>12</v>
      </c>
      <c r="E84" s="22">
        <f t="shared" si="2"/>
        <v>7.5616566588418983E-6</v>
      </c>
      <c r="F84" s="129">
        <f t="shared" si="3"/>
        <v>0</v>
      </c>
      <c r="G84" s="22">
        <v>7.5616566588419E-6</v>
      </c>
      <c r="H84" s="21">
        <f t="shared" si="4"/>
        <v>13.4</v>
      </c>
      <c r="I84" s="21">
        <v>13.4</v>
      </c>
      <c r="J84" s="23" t="s">
        <v>24</v>
      </c>
      <c r="K84" s="23" t="s">
        <v>24</v>
      </c>
      <c r="L84" s="22">
        <v>1.3557929896794999E-4</v>
      </c>
      <c r="M84" s="134">
        <f t="shared" si="7"/>
        <v>1.3557929896795275E-4</v>
      </c>
      <c r="N84" s="231">
        <f t="shared" si="5"/>
        <v>-2.7647155398380363E-18</v>
      </c>
    </row>
    <row r="85" spans="2:14" x14ac:dyDescent="0.45">
      <c r="B85" s="12">
        <v>1</v>
      </c>
      <c r="C85" s="111">
        <v>18</v>
      </c>
      <c r="D85" s="12">
        <v>11</v>
      </c>
      <c r="E85" s="22">
        <f t="shared" si="2"/>
        <v>5.0411044392279319E-6</v>
      </c>
      <c r="F85" s="129">
        <f t="shared" si="3"/>
        <v>0</v>
      </c>
      <c r="G85" s="22">
        <v>5.0411044392279302E-6</v>
      </c>
      <c r="H85" s="21">
        <f t="shared" si="4"/>
        <v>14.6</v>
      </c>
      <c r="I85" s="21">
        <v>14.6</v>
      </c>
      <c r="J85" s="23" t="s">
        <v>24</v>
      </c>
      <c r="K85" s="23" t="s">
        <v>24</v>
      </c>
      <c r="L85" s="22">
        <v>8.9079007875550003E-5</v>
      </c>
      <c r="M85" s="134">
        <f t="shared" si="7"/>
        <v>8.9079007875549353E-5</v>
      </c>
      <c r="N85" s="231">
        <f t="shared" si="5"/>
        <v>6.5052130349130266E-19</v>
      </c>
    </row>
    <row r="86" spans="2:14" x14ac:dyDescent="0.45">
      <c r="B86" s="12">
        <v>1</v>
      </c>
      <c r="C86" s="111">
        <v>19</v>
      </c>
      <c r="D86" s="12">
        <v>10</v>
      </c>
      <c r="E86" s="22">
        <f t="shared" si="2"/>
        <v>2.9185341490266974E-6</v>
      </c>
      <c r="F86" s="129">
        <f t="shared" si="3"/>
        <v>0</v>
      </c>
      <c r="G86" s="22">
        <v>2.9185341490266999E-6</v>
      </c>
      <c r="H86" s="21">
        <f t="shared" si="4"/>
        <v>16.2</v>
      </c>
      <c r="I86" s="21">
        <v>16.2</v>
      </c>
      <c r="J86" s="23" t="s">
        <v>24</v>
      </c>
      <c r="K86" s="23" t="s">
        <v>24</v>
      </c>
      <c r="L86" s="22">
        <v>5.0545393498239999E-5</v>
      </c>
      <c r="M86" s="134">
        <f t="shared" si="7"/>
        <v>5.0545393498238474E-5</v>
      </c>
      <c r="N86" s="231">
        <f t="shared" si="5"/>
        <v>1.5246593050577406E-18</v>
      </c>
    </row>
    <row r="87" spans="2:14" x14ac:dyDescent="0.45">
      <c r="B87" s="12">
        <v>1</v>
      </c>
      <c r="C87" s="111">
        <v>20</v>
      </c>
      <c r="D87" s="12">
        <v>9</v>
      </c>
      <c r="E87" s="22">
        <f t="shared" si="2"/>
        <v>1.4592670745133487E-6</v>
      </c>
      <c r="F87" s="129">
        <f t="shared" si="3"/>
        <v>0</v>
      </c>
      <c r="G87" s="22">
        <v>1.45926707451335E-6</v>
      </c>
      <c r="H87" s="21">
        <f t="shared" si="4"/>
        <v>18.2</v>
      </c>
      <c r="I87" s="21">
        <v>18.2</v>
      </c>
      <c r="J87" s="23" t="s">
        <v>24</v>
      </c>
      <c r="K87" s="23" t="s">
        <v>24</v>
      </c>
      <c r="L87" s="22">
        <v>2.4616001050119999E-5</v>
      </c>
      <c r="M87" s="134">
        <f t="shared" si="7"/>
        <v>2.4616001050121269E-5</v>
      </c>
      <c r="N87" s="231">
        <f t="shared" si="5"/>
        <v>-1.2705494208814505E-18</v>
      </c>
    </row>
    <row r="88" spans="2:14" x14ac:dyDescent="0.45">
      <c r="B88" s="12">
        <v>1</v>
      </c>
      <c r="C88" s="111">
        <v>21</v>
      </c>
      <c r="D88" s="12">
        <v>8</v>
      </c>
      <c r="E88" s="22">
        <f t="shared" si="2"/>
        <v>6.2540017479143516E-7</v>
      </c>
      <c r="F88" s="129">
        <f t="shared" si="3"/>
        <v>0</v>
      </c>
      <c r="G88" s="22">
        <v>6.2540017479143505E-7</v>
      </c>
      <c r="H88" s="21">
        <f t="shared" si="4"/>
        <v>20.6</v>
      </c>
      <c r="I88" s="21">
        <v>20.6</v>
      </c>
      <c r="J88" s="23" t="s">
        <v>24</v>
      </c>
      <c r="K88" s="23" t="s">
        <v>24</v>
      </c>
      <c r="L88" s="22">
        <v>1.020175559009E-5</v>
      </c>
      <c r="M88" s="134">
        <f t="shared" si="7"/>
        <v>1.0201755590087278E-5</v>
      </c>
      <c r="N88" s="231">
        <f t="shared" si="5"/>
        <v>2.7223638924753213E-18</v>
      </c>
    </row>
    <row r="89" spans="2:14" x14ac:dyDescent="0.45">
      <c r="B89" s="12">
        <v>1</v>
      </c>
      <c r="C89" s="111">
        <v>22</v>
      </c>
      <c r="D89" s="12">
        <v>7</v>
      </c>
      <c r="E89" s="22">
        <f t="shared" si="2"/>
        <v>2.2741824537870371E-7</v>
      </c>
      <c r="F89" s="129">
        <f t="shared" si="3"/>
        <v>2.9116757561866574E-22</v>
      </c>
      <c r="G89" s="22">
        <v>2.27418245378704E-7</v>
      </c>
      <c r="H89" s="21">
        <f t="shared" si="4"/>
        <v>23.4</v>
      </c>
      <c r="I89" s="21">
        <v>23.4</v>
      </c>
      <c r="J89" s="23" t="s">
        <v>24</v>
      </c>
      <c r="K89" s="23" t="s">
        <v>24</v>
      </c>
      <c r="L89" s="22">
        <v>3.5564339042099999E-6</v>
      </c>
      <c r="M89" s="134">
        <f t="shared" si="7"/>
        <v>3.5564339042142376E-6</v>
      </c>
      <c r="N89" s="231">
        <f t="shared" si="5"/>
        <v>-4.2377058351132646E-18</v>
      </c>
    </row>
    <row r="90" spans="2:14" x14ac:dyDescent="0.45">
      <c r="B90" s="12">
        <v>1</v>
      </c>
      <c r="C90" s="111">
        <v>23</v>
      </c>
      <c r="D90" s="12">
        <v>6</v>
      </c>
      <c r="E90" s="22">
        <f t="shared" si="2"/>
        <v>6.9214248593518514E-8</v>
      </c>
      <c r="F90" s="129">
        <f t="shared" si="3"/>
        <v>0</v>
      </c>
      <c r="G90" s="22">
        <v>6.9214248593518501E-8</v>
      </c>
      <c r="H90" s="21">
        <f t="shared" si="4"/>
        <v>26.6</v>
      </c>
      <c r="I90" s="21">
        <v>26.6</v>
      </c>
      <c r="J90" s="23" t="s">
        <v>24</v>
      </c>
      <c r="K90" s="23" t="s">
        <v>24</v>
      </c>
      <c r="L90" s="22">
        <v>1.02648420082E-6</v>
      </c>
      <c r="M90" s="134">
        <f t="shared" si="7"/>
        <v>1.0264842008187144E-6</v>
      </c>
      <c r="N90" s="231">
        <f t="shared" si="5"/>
        <v>1.2855842556952143E-18</v>
      </c>
    </row>
    <row r="91" spans="2:14" x14ac:dyDescent="0.45">
      <c r="B91" s="12">
        <v>1</v>
      </c>
      <c r="C91" s="111">
        <v>24</v>
      </c>
      <c r="D91" s="12">
        <v>5</v>
      </c>
      <c r="E91" s="22">
        <f t="shared" si="2"/>
        <v>1.7303562148379628E-8</v>
      </c>
      <c r="F91" s="129">
        <f t="shared" si="3"/>
        <v>-2.9778502051908996E-23</v>
      </c>
      <c r="G91" s="22">
        <v>1.7303562148379599E-8</v>
      </c>
      <c r="H91" s="21">
        <f t="shared" si="4"/>
        <v>30.2</v>
      </c>
      <c r="I91" s="21">
        <v>30.2</v>
      </c>
      <c r="J91" s="23" t="s">
        <v>24</v>
      </c>
      <c r="K91" s="23" t="s">
        <v>24</v>
      </c>
      <c r="L91" s="22">
        <v>2.3992758203000002E-7</v>
      </c>
      <c r="M91" s="134">
        <f t="shared" si="7"/>
        <v>2.3992758202505737E-7</v>
      </c>
      <c r="N91" s="231">
        <f t="shared" si="5"/>
        <v>4.9426490054656561E-18</v>
      </c>
    </row>
    <row r="92" spans="2:14" x14ac:dyDescent="0.45">
      <c r="B92" s="12">
        <v>1</v>
      </c>
      <c r="C92" s="111">
        <v>25</v>
      </c>
      <c r="D92" s="12">
        <v>4</v>
      </c>
      <c r="E92" s="22">
        <f t="shared" si="2"/>
        <v>3.4607124296759264E-9</v>
      </c>
      <c r="F92" s="129">
        <f t="shared" si="3"/>
        <v>3.7223127564886245E-24</v>
      </c>
      <c r="G92" s="22">
        <v>3.4607124296759301E-9</v>
      </c>
      <c r="H92" s="21">
        <f t="shared" si="4"/>
        <v>34.200000000000003</v>
      </c>
      <c r="I92" s="21">
        <v>34.200000000000003</v>
      </c>
      <c r="J92" s="23" t="s">
        <v>24</v>
      </c>
      <c r="K92" s="23" t="s">
        <v>24</v>
      </c>
      <c r="L92" s="22">
        <v>4.398046511E-8</v>
      </c>
      <c r="M92" s="134">
        <f t="shared" si="7"/>
        <v>4.3980465111039978E-8</v>
      </c>
      <c r="N92" s="231">
        <f t="shared" si="5"/>
        <v>-1.0399777882159694E-18</v>
      </c>
    </row>
    <row r="93" spans="2:14" x14ac:dyDescent="0.45">
      <c r="B93" s="12">
        <v>1</v>
      </c>
      <c r="C93" s="111">
        <v>26</v>
      </c>
      <c r="D93" s="12">
        <v>3</v>
      </c>
      <c r="E93" s="22">
        <f t="shared" si="2"/>
        <v>5.3241729687321921E-10</v>
      </c>
      <c r="F93" s="129">
        <f t="shared" si="3"/>
        <v>8.2718061255302767E-25</v>
      </c>
      <c r="G93" s="22">
        <v>5.3241729687322004E-10</v>
      </c>
      <c r="H93" s="21">
        <f t="shared" si="4"/>
        <v>38.6</v>
      </c>
      <c r="I93" s="21">
        <v>38.6</v>
      </c>
      <c r="J93" s="23" t="s">
        <v>24</v>
      </c>
      <c r="K93" s="23" t="s">
        <v>24</v>
      </c>
      <c r="L93" s="22">
        <v>6.0162959099999998E-9</v>
      </c>
      <c r="M93" s="134">
        <f t="shared" si="7"/>
        <v>6.0162959075903259E-9</v>
      </c>
      <c r="N93" s="231">
        <f t="shared" si="5"/>
        <v>2.4096739044986383E-18</v>
      </c>
    </row>
    <row r="94" spans="2:14" x14ac:dyDescent="0.45">
      <c r="B94" s="12">
        <v>1</v>
      </c>
      <c r="C94" s="111">
        <v>27</v>
      </c>
      <c r="D94" s="12">
        <v>2</v>
      </c>
      <c r="E94" s="22">
        <f t="shared" si="2"/>
        <v>5.9157477430357713E-11</v>
      </c>
      <c r="F94" s="129">
        <f t="shared" si="3"/>
        <v>0</v>
      </c>
      <c r="G94" s="22">
        <v>5.91574774303577E-11</v>
      </c>
      <c r="H94" s="21">
        <f t="shared" si="4"/>
        <v>43.4</v>
      </c>
      <c r="I94" s="21">
        <v>43.4</v>
      </c>
      <c r="J94" s="23" t="s">
        <v>24</v>
      </c>
      <c r="K94" s="23" t="s">
        <v>24</v>
      </c>
      <c r="L94" s="22">
        <v>5.6379131000000002E-10</v>
      </c>
      <c r="M94" s="134">
        <f t="shared" si="7"/>
        <v>5.637913084321136E-10</v>
      </c>
      <c r="N94" s="231">
        <f t="shared" si="5"/>
        <v>1.5678864197012664E-18</v>
      </c>
    </row>
    <row r="95" spans="2:14" x14ac:dyDescent="0.45">
      <c r="B95" s="12">
        <v>1</v>
      </c>
      <c r="C95" s="111">
        <v>28</v>
      </c>
      <c r="D95" s="12">
        <v>1</v>
      </c>
      <c r="E95" s="22">
        <f t="shared" si="2"/>
        <v>4.2255341021684088E-12</v>
      </c>
      <c r="F95" s="129">
        <f t="shared" si="3"/>
        <v>0</v>
      </c>
      <c r="G95" s="22">
        <v>4.2255341021684104E-12</v>
      </c>
      <c r="H95" s="21">
        <f t="shared" si="4"/>
        <v>48.6</v>
      </c>
      <c r="I95" s="21">
        <v>48.6</v>
      </c>
      <c r="J95" s="23" t="s">
        <v>24</v>
      </c>
      <c r="K95" s="23" t="s">
        <v>24</v>
      </c>
      <c r="L95" s="22">
        <v>3.0169989999999998E-11</v>
      </c>
      <c r="M95" s="134">
        <f t="shared" si="7"/>
        <v>3.0169986956704504E-11</v>
      </c>
      <c r="N95" s="231">
        <f t="shared" si="5"/>
        <v>3.0432954944851763E-18</v>
      </c>
    </row>
    <row r="96" spans="2:14" x14ac:dyDescent="0.45">
      <c r="B96" s="12">
        <v>1</v>
      </c>
      <c r="C96" s="111">
        <v>29</v>
      </c>
      <c r="D96" s="195">
        <v>0</v>
      </c>
      <c r="E96" s="22">
        <f t="shared" si="2"/>
        <v>1.457080724885658E-13</v>
      </c>
      <c r="F96" s="129">
        <f t="shared" si="3"/>
        <v>2.0194839173657902E-28</v>
      </c>
      <c r="G96" s="22">
        <v>1.4570807248856601E-13</v>
      </c>
      <c r="H96" s="21">
        <f t="shared" si="4"/>
        <v>54.2</v>
      </c>
      <c r="I96" s="21">
        <v>54.2</v>
      </c>
      <c r="J96" s="23" t="s">
        <v>24</v>
      </c>
      <c r="K96" s="23" t="s">
        <v>24</v>
      </c>
      <c r="L96" s="22">
        <v>3.8945999999999999E-13</v>
      </c>
      <c r="M96" s="207">
        <f>1/(((B96/10)^B96)*((C96/10)^C96))</f>
        <v>3.8945569682215584E-13</v>
      </c>
      <c r="N96" s="231">
        <f t="shared" si="5"/>
        <v>4.3031778441487649E-18</v>
      </c>
    </row>
    <row r="97" spans="2:14" x14ac:dyDescent="0.45">
      <c r="B97" s="12">
        <v>2</v>
      </c>
      <c r="C97" s="195">
        <v>0</v>
      </c>
      <c r="D97" s="12">
        <v>28</v>
      </c>
      <c r="E97" s="22">
        <f t="shared" si="2"/>
        <v>2.1127670510842044E-12</v>
      </c>
      <c r="F97" s="129">
        <f t="shared" si="3"/>
        <v>-4.4428646182047385E-27</v>
      </c>
      <c r="G97" s="22">
        <v>2.1127670510841999E-12</v>
      </c>
      <c r="H97" s="21">
        <f t="shared" si="4"/>
        <v>48.8</v>
      </c>
      <c r="I97" s="21">
        <v>48.8</v>
      </c>
      <c r="J97" s="23" t="s">
        <v>24</v>
      </c>
      <c r="K97" s="23" t="s">
        <v>24</v>
      </c>
      <c r="L97" s="22">
        <v>7.5424999999999994E-12</v>
      </c>
      <c r="M97" s="207">
        <f>1/(((B97/10)^B97)*((D97/10)^D97))</f>
        <v>7.542496739176126E-12</v>
      </c>
      <c r="N97" s="231">
        <f t="shared" si="5"/>
        <v>3.26082387344887E-18</v>
      </c>
    </row>
    <row r="98" spans="2:14" x14ac:dyDescent="0.45">
      <c r="B98" s="12">
        <v>2</v>
      </c>
      <c r="C98" s="111">
        <v>1</v>
      </c>
      <c r="D98" s="12">
        <v>27</v>
      </c>
      <c r="E98" s="22">
        <f t="shared" si="2"/>
        <v>5.9157477430357713E-11</v>
      </c>
      <c r="F98" s="129">
        <f t="shared" si="3"/>
        <v>0</v>
      </c>
      <c r="G98" s="22">
        <v>5.91574774303577E-11</v>
      </c>
      <c r="H98" s="21">
        <f t="shared" si="4"/>
        <v>43.4</v>
      </c>
      <c r="I98" s="21">
        <v>43.4</v>
      </c>
      <c r="J98" s="23" t="s">
        <v>24</v>
      </c>
      <c r="K98" s="23" t="s">
        <v>24</v>
      </c>
      <c r="L98" s="22">
        <v>5.6379131000000002E-10</v>
      </c>
      <c r="M98" s="134">
        <f t="shared" si="7"/>
        <v>5.637913084321137E-10</v>
      </c>
      <c r="N98" s="231">
        <f t="shared" si="5"/>
        <v>1.5678863163036899E-18</v>
      </c>
    </row>
    <row r="99" spans="2:14" x14ac:dyDescent="0.45">
      <c r="B99" s="12">
        <v>2</v>
      </c>
      <c r="C99" s="111">
        <v>2</v>
      </c>
      <c r="D99" s="12">
        <v>26</v>
      </c>
      <c r="E99" s="22">
        <f t="shared" si="2"/>
        <v>7.9862594530982886E-10</v>
      </c>
      <c r="F99" s="129">
        <f t="shared" si="3"/>
        <v>0</v>
      </c>
      <c r="G99" s="22">
        <v>7.9862594530982897E-10</v>
      </c>
      <c r="H99" s="21">
        <f t="shared" si="4"/>
        <v>38.4</v>
      </c>
      <c r="I99" s="21">
        <v>38.4</v>
      </c>
      <c r="J99" s="23" t="s">
        <v>24</v>
      </c>
      <c r="K99" s="23" t="s">
        <v>24</v>
      </c>
      <c r="L99" s="22">
        <v>1.015249934E-8</v>
      </c>
      <c r="M99" s="134">
        <f t="shared" si="7"/>
        <v>1.0152499344058669E-8</v>
      </c>
      <c r="N99" s="231">
        <f t="shared" si="5"/>
        <v>-4.0586692089710622E-18</v>
      </c>
    </row>
    <row r="100" spans="2:14" x14ac:dyDescent="0.45">
      <c r="B100" s="12">
        <v>2</v>
      </c>
      <c r="C100" s="111">
        <v>3</v>
      </c>
      <c r="D100" s="12">
        <v>25</v>
      </c>
      <c r="E100" s="22">
        <f t="shared" si="2"/>
        <v>6.9214248593518527E-9</v>
      </c>
      <c r="F100" s="129">
        <f t="shared" si="3"/>
        <v>0</v>
      </c>
      <c r="G100" s="22">
        <v>6.9214248593518502E-9</v>
      </c>
      <c r="H100" s="21">
        <f t="shared" si="4"/>
        <v>33.799999999999997</v>
      </c>
      <c r="I100" s="21">
        <v>33.799999999999997</v>
      </c>
      <c r="J100" s="23" t="s">
        <v>24</v>
      </c>
      <c r="K100" s="23" t="s">
        <v>24</v>
      </c>
      <c r="L100" s="22">
        <v>1.0424999137E-7</v>
      </c>
      <c r="M100" s="134">
        <f t="shared" si="7"/>
        <v>1.0424999137431699E-7</v>
      </c>
      <c r="N100" s="231">
        <f t="shared" si="5"/>
        <v>-4.3169960599101476E-18</v>
      </c>
    </row>
    <row r="101" spans="2:14" x14ac:dyDescent="0.45">
      <c r="B101" s="12">
        <v>2</v>
      </c>
      <c r="C101" s="111">
        <v>4</v>
      </c>
      <c r="D101" s="12">
        <v>24</v>
      </c>
      <c r="E101" s="22">
        <f t="shared" ref="E101:E164" si="8">$E$36*FACT(30)/(FACT(B101)*FACT(C101)*FACT(D101))</f>
        <v>4.3258905370949076E-8</v>
      </c>
      <c r="F101" s="129">
        <f t="shared" ref="F101:F164" si="9">G101-E101</f>
        <v>0</v>
      </c>
      <c r="G101" s="22">
        <v>4.3258905370949103E-8</v>
      </c>
      <c r="H101" s="21">
        <f t="shared" ref="H101:H164" si="10">(((B101-10))^2+((C101-10))^2+((D101-10))^2)/10</f>
        <v>29.6</v>
      </c>
      <c r="I101" s="21">
        <v>29.6</v>
      </c>
      <c r="J101" s="23" t="s">
        <v>24</v>
      </c>
      <c r="K101" s="23" t="s">
        <v>24</v>
      </c>
      <c r="L101" s="22">
        <v>7.3220087288000004E-7</v>
      </c>
      <c r="M101" s="134">
        <f t="shared" ref="M101:M164" si="11">1/(((B101/10)^B101)*((C101/10)^C101)*((D101/10)^D101))</f>
        <v>7.3220087287920309E-7</v>
      </c>
      <c r="N101" s="231">
        <f t="shared" ref="N101:N164" si="12">L101-M101</f>
        <v>7.9695212424788983E-19</v>
      </c>
    </row>
    <row r="102" spans="2:14" x14ac:dyDescent="0.45">
      <c r="B102" s="12">
        <v>2</v>
      </c>
      <c r="C102" s="111">
        <v>5</v>
      </c>
      <c r="D102" s="12">
        <v>23</v>
      </c>
      <c r="E102" s="22">
        <f t="shared" si="8"/>
        <v>2.0764274578055555E-7</v>
      </c>
      <c r="F102" s="129">
        <f t="shared" si="9"/>
        <v>4.4998625322884706E-22</v>
      </c>
      <c r="G102" s="22">
        <v>2.07642745780556E-7</v>
      </c>
      <c r="H102" s="21">
        <f t="shared" si="10"/>
        <v>25.8</v>
      </c>
      <c r="I102" s="21">
        <v>25.8</v>
      </c>
      <c r="J102" s="23" t="s">
        <v>24</v>
      </c>
      <c r="K102" s="23" t="s">
        <v>24</v>
      </c>
      <c r="L102" s="22">
        <v>3.8313317498700002E-6</v>
      </c>
      <c r="M102" s="134">
        <f t="shared" si="11"/>
        <v>3.8313317498718348E-6</v>
      </c>
      <c r="N102" s="231">
        <f t="shared" si="12"/>
        <v>-1.8346733637528145E-18</v>
      </c>
    </row>
    <row r="103" spans="2:14" x14ac:dyDescent="0.45">
      <c r="B103" s="12">
        <v>2</v>
      </c>
      <c r="C103" s="111">
        <v>6</v>
      </c>
      <c r="D103" s="12">
        <v>22</v>
      </c>
      <c r="E103" s="22">
        <f t="shared" si="8"/>
        <v>7.95963858825463E-7</v>
      </c>
      <c r="F103" s="129">
        <f t="shared" si="9"/>
        <v>0</v>
      </c>
      <c r="G103" s="22">
        <v>7.95963858825463E-7</v>
      </c>
      <c r="H103" s="21">
        <f t="shared" si="10"/>
        <v>22.4</v>
      </c>
      <c r="I103" s="21">
        <v>22.4</v>
      </c>
      <c r="J103" s="23" t="s">
        <v>24</v>
      </c>
      <c r="K103" s="23" t="s">
        <v>24</v>
      </c>
      <c r="L103" s="22">
        <v>1.569399566389E-5</v>
      </c>
      <c r="M103" s="134">
        <f t="shared" si="11"/>
        <v>1.5693995663892659E-5</v>
      </c>
      <c r="N103" s="231">
        <f t="shared" si="12"/>
        <v>-2.6596834543785031E-18</v>
      </c>
    </row>
    <row r="104" spans="2:14" x14ac:dyDescent="0.45">
      <c r="B104" s="12">
        <v>2</v>
      </c>
      <c r="C104" s="111">
        <v>7</v>
      </c>
      <c r="D104" s="12">
        <v>21</v>
      </c>
      <c r="E104" s="22">
        <f t="shared" si="8"/>
        <v>2.5016006991657406E-6</v>
      </c>
      <c r="F104" s="129">
        <f t="shared" si="9"/>
        <v>0</v>
      </c>
      <c r="G104" s="22">
        <v>2.5016006991657402E-6</v>
      </c>
      <c r="H104" s="21">
        <f t="shared" si="10"/>
        <v>19.399999999999999</v>
      </c>
      <c r="I104" s="21">
        <v>19.399999999999999</v>
      </c>
      <c r="J104" s="23" t="s">
        <v>24</v>
      </c>
      <c r="K104" s="23" t="s">
        <v>24</v>
      </c>
      <c r="L104" s="22">
        <v>5.1957535038879999E-5</v>
      </c>
      <c r="M104" s="134">
        <f t="shared" si="11"/>
        <v>5.1957535038881381E-5</v>
      </c>
      <c r="N104" s="231">
        <f t="shared" si="12"/>
        <v>-1.3823577699190182E-18</v>
      </c>
    </row>
    <row r="105" spans="2:14" x14ac:dyDescent="0.45">
      <c r="B105" s="12">
        <v>2</v>
      </c>
      <c r="C105" s="111">
        <v>8</v>
      </c>
      <c r="D105" s="12">
        <v>20</v>
      </c>
      <c r="E105" s="22">
        <f t="shared" si="8"/>
        <v>6.5667018353100693E-6</v>
      </c>
      <c r="F105" s="129">
        <f t="shared" si="9"/>
        <v>0</v>
      </c>
      <c r="G105" s="22">
        <v>6.5667018353100701E-6</v>
      </c>
      <c r="H105" s="21">
        <f t="shared" si="10"/>
        <v>16.8</v>
      </c>
      <c r="I105" s="21">
        <v>16.8</v>
      </c>
      <c r="J105" s="23" t="s">
        <v>24</v>
      </c>
      <c r="K105" s="23" t="s">
        <v>24</v>
      </c>
      <c r="L105" s="22">
        <v>1.4210854715202001E-4</v>
      </c>
      <c r="M105" s="134">
        <f t="shared" si="11"/>
        <v>1.4210854715201987E-4</v>
      </c>
      <c r="N105" s="231">
        <f t="shared" si="12"/>
        <v>0</v>
      </c>
    </row>
    <row r="106" spans="2:14" x14ac:dyDescent="0.45">
      <c r="B106" s="12">
        <v>2</v>
      </c>
      <c r="C106" s="111">
        <v>9</v>
      </c>
      <c r="D106" s="12">
        <v>19</v>
      </c>
      <c r="E106" s="22">
        <f t="shared" si="8"/>
        <v>1.4592670745133487E-5</v>
      </c>
      <c r="F106" s="129">
        <f t="shared" si="9"/>
        <v>0</v>
      </c>
      <c r="G106" s="22">
        <v>1.4592670745133499E-5</v>
      </c>
      <c r="H106" s="21">
        <f t="shared" si="10"/>
        <v>14.6</v>
      </c>
      <c r="I106" s="21">
        <v>14.6</v>
      </c>
      <c r="J106" s="23" t="s">
        <v>24</v>
      </c>
      <c r="K106" s="23" t="s">
        <v>24</v>
      </c>
      <c r="L106" s="22">
        <v>3.2616623883719001E-4</v>
      </c>
      <c r="M106" s="134">
        <f t="shared" si="11"/>
        <v>3.2616623883719305E-4</v>
      </c>
      <c r="N106" s="231">
        <f t="shared" si="12"/>
        <v>-3.0357660829594124E-18</v>
      </c>
    </row>
    <row r="107" spans="2:14" x14ac:dyDescent="0.45">
      <c r="B107" s="12">
        <v>2</v>
      </c>
      <c r="C107" s="111">
        <v>10</v>
      </c>
      <c r="D107" s="12">
        <v>18</v>
      </c>
      <c r="E107" s="22">
        <f t="shared" si="8"/>
        <v>2.7726074415753628E-5</v>
      </c>
      <c r="F107" s="129">
        <f t="shared" si="9"/>
        <v>-2.7105054312137611E-20</v>
      </c>
      <c r="G107" s="22">
        <v>2.7726074415753601E-5</v>
      </c>
      <c r="H107" s="21">
        <f t="shared" si="10"/>
        <v>12.8</v>
      </c>
      <c r="I107" s="21">
        <v>12.8</v>
      </c>
      <c r="J107" s="23" t="s">
        <v>24</v>
      </c>
      <c r="K107" s="23" t="s">
        <v>24</v>
      </c>
      <c r="L107" s="22">
        <v>6.3538201383358996E-4</v>
      </c>
      <c r="M107" s="134">
        <f t="shared" si="11"/>
        <v>6.3538201383358584E-4</v>
      </c>
      <c r="N107" s="231">
        <f t="shared" si="12"/>
        <v>4.1199682554449168E-18</v>
      </c>
    </row>
    <row r="108" spans="2:14" x14ac:dyDescent="0.45">
      <c r="B108" s="12">
        <v>2</v>
      </c>
      <c r="C108" s="111">
        <v>11</v>
      </c>
      <c r="D108" s="12">
        <v>17</v>
      </c>
      <c r="E108" s="22">
        <f t="shared" si="8"/>
        <v>4.5369939953051386E-5</v>
      </c>
      <c r="F108" s="129">
        <f t="shared" si="9"/>
        <v>0</v>
      </c>
      <c r="G108" s="22">
        <v>4.53699399530514E-5</v>
      </c>
      <c r="H108" s="21">
        <f t="shared" si="10"/>
        <v>11.4</v>
      </c>
      <c r="I108" s="21">
        <v>11.4</v>
      </c>
      <c r="J108" s="23" t="s">
        <v>24</v>
      </c>
      <c r="K108" s="23" t="s">
        <v>24</v>
      </c>
      <c r="L108" s="22">
        <v>1.0592264292183099E-3</v>
      </c>
      <c r="M108" s="134">
        <f t="shared" si="11"/>
        <v>1.0592264292183062E-3</v>
      </c>
      <c r="N108" s="231">
        <f t="shared" si="12"/>
        <v>3.6862873864507151E-18</v>
      </c>
    </row>
    <row r="109" spans="2:14" x14ac:dyDescent="0.45">
      <c r="B109" s="12">
        <v>2</v>
      </c>
      <c r="C109" s="111">
        <v>12</v>
      </c>
      <c r="D109" s="12">
        <v>16</v>
      </c>
      <c r="E109" s="22">
        <f t="shared" si="8"/>
        <v>6.4274081600156131E-5</v>
      </c>
      <c r="F109" s="129">
        <f t="shared" si="9"/>
        <v>0</v>
      </c>
      <c r="G109" s="22">
        <v>6.4274081600156199E-5</v>
      </c>
      <c r="H109" s="21">
        <f t="shared" si="10"/>
        <v>10.4</v>
      </c>
      <c r="I109" s="21">
        <v>10.4</v>
      </c>
      <c r="J109" s="23" t="s">
        <v>24</v>
      </c>
      <c r="K109" s="23" t="s">
        <v>24</v>
      </c>
      <c r="L109" s="22">
        <v>1.5200061097023301E-3</v>
      </c>
      <c r="M109" s="134">
        <f t="shared" si="11"/>
        <v>1.5200061097023277E-3</v>
      </c>
      <c r="N109" s="231">
        <f t="shared" si="12"/>
        <v>2.3852447794681098E-18</v>
      </c>
    </row>
    <row r="110" spans="2:14" x14ac:dyDescent="0.45">
      <c r="B110" s="12">
        <v>2</v>
      </c>
      <c r="C110" s="111">
        <v>13</v>
      </c>
      <c r="D110" s="12">
        <v>15</v>
      </c>
      <c r="E110" s="22">
        <f t="shared" si="8"/>
        <v>7.9106561969422939E-5</v>
      </c>
      <c r="F110" s="129">
        <f t="shared" si="9"/>
        <v>0</v>
      </c>
      <c r="G110" s="22">
        <v>7.9106561969422993E-5</v>
      </c>
      <c r="H110" s="21">
        <f t="shared" si="10"/>
        <v>9.8000000000000007</v>
      </c>
      <c r="I110" s="21">
        <v>9.8000000000000007</v>
      </c>
      <c r="J110" s="23" t="s">
        <v>24</v>
      </c>
      <c r="K110" s="23" t="s">
        <v>24</v>
      </c>
      <c r="L110" s="22">
        <v>1.8849834558998201E-3</v>
      </c>
      <c r="M110" s="134">
        <f t="shared" si="11"/>
        <v>1.8849834558998196E-3</v>
      </c>
      <c r="N110" s="231">
        <f t="shared" si="12"/>
        <v>0</v>
      </c>
    </row>
    <row r="111" spans="2:14" x14ac:dyDescent="0.45">
      <c r="B111" s="12">
        <v>2</v>
      </c>
      <c r="C111" s="111">
        <v>14</v>
      </c>
      <c r="D111" s="12">
        <v>14</v>
      </c>
      <c r="E111" s="22">
        <f t="shared" si="8"/>
        <v>8.475703068152457E-5</v>
      </c>
      <c r="F111" s="129">
        <f t="shared" si="9"/>
        <v>0</v>
      </c>
      <c r="G111" s="22">
        <v>8.4757030681524597E-5</v>
      </c>
      <c r="H111" s="21">
        <f t="shared" si="10"/>
        <v>9.6</v>
      </c>
      <c r="I111" s="21">
        <v>9.6</v>
      </c>
      <c r="J111" s="23" t="s">
        <v>24</v>
      </c>
      <c r="K111" s="23" t="s">
        <v>24</v>
      </c>
      <c r="L111" s="22">
        <v>2.0246735515592499E-3</v>
      </c>
      <c r="M111" s="134">
        <f t="shared" si="11"/>
        <v>2.0246735515592564E-3</v>
      </c>
      <c r="N111" s="231">
        <f t="shared" si="12"/>
        <v>-6.5052130349130266E-18</v>
      </c>
    </row>
    <row r="112" spans="2:14" x14ac:dyDescent="0.45">
      <c r="B112" s="12">
        <v>2</v>
      </c>
      <c r="C112" s="111">
        <v>15</v>
      </c>
      <c r="D112" s="12">
        <v>13</v>
      </c>
      <c r="E112" s="22">
        <f t="shared" si="8"/>
        <v>7.9106561969422939E-5</v>
      </c>
      <c r="F112" s="129">
        <f t="shared" si="9"/>
        <v>0</v>
      </c>
      <c r="G112" s="22">
        <v>7.9106561969422993E-5</v>
      </c>
      <c r="H112" s="21">
        <f t="shared" si="10"/>
        <v>9.8000000000000007</v>
      </c>
      <c r="I112" s="21">
        <v>9.8000000000000007</v>
      </c>
      <c r="J112" s="23" t="s">
        <v>24</v>
      </c>
      <c r="K112" s="23" t="s">
        <v>24</v>
      </c>
      <c r="L112" s="22">
        <v>1.8849834558998201E-3</v>
      </c>
      <c r="M112" s="134">
        <f t="shared" si="11"/>
        <v>1.8849834558998196E-3</v>
      </c>
      <c r="N112" s="231">
        <f t="shared" si="12"/>
        <v>0</v>
      </c>
    </row>
    <row r="113" spans="2:14" x14ac:dyDescent="0.45">
      <c r="B113" s="12">
        <v>2</v>
      </c>
      <c r="C113" s="111">
        <v>16</v>
      </c>
      <c r="D113" s="12">
        <v>12</v>
      </c>
      <c r="E113" s="22">
        <f t="shared" si="8"/>
        <v>6.4274081600156131E-5</v>
      </c>
      <c r="F113" s="129">
        <f t="shared" si="9"/>
        <v>0</v>
      </c>
      <c r="G113" s="22">
        <v>6.4274081600156199E-5</v>
      </c>
      <c r="H113" s="21">
        <f t="shared" si="10"/>
        <v>10.4</v>
      </c>
      <c r="I113" s="21">
        <v>10.4</v>
      </c>
      <c r="J113" s="23" t="s">
        <v>24</v>
      </c>
      <c r="K113" s="23" t="s">
        <v>24</v>
      </c>
      <c r="L113" s="22">
        <v>1.5200061097023301E-3</v>
      </c>
      <c r="M113" s="134">
        <f t="shared" si="11"/>
        <v>1.5200061097023277E-3</v>
      </c>
      <c r="N113" s="231">
        <f t="shared" si="12"/>
        <v>2.3852447794681098E-18</v>
      </c>
    </row>
    <row r="114" spans="2:14" x14ac:dyDescent="0.45">
      <c r="B114" s="12">
        <v>2</v>
      </c>
      <c r="C114" s="111">
        <v>17</v>
      </c>
      <c r="D114" s="12">
        <v>11</v>
      </c>
      <c r="E114" s="22">
        <f t="shared" si="8"/>
        <v>4.5369939953051386E-5</v>
      </c>
      <c r="F114" s="129">
        <f t="shared" si="9"/>
        <v>0</v>
      </c>
      <c r="G114" s="22">
        <v>4.53699399530514E-5</v>
      </c>
      <c r="H114" s="21">
        <f t="shared" si="10"/>
        <v>11.4</v>
      </c>
      <c r="I114" s="21">
        <v>11.4</v>
      </c>
      <c r="J114" s="23" t="s">
        <v>24</v>
      </c>
      <c r="K114" s="23" t="s">
        <v>24</v>
      </c>
      <c r="L114" s="22">
        <v>1.0592264292183099E-3</v>
      </c>
      <c r="M114" s="134">
        <f t="shared" si="11"/>
        <v>1.0592264292183062E-3</v>
      </c>
      <c r="N114" s="231">
        <f t="shared" si="12"/>
        <v>3.6862873864507151E-18</v>
      </c>
    </row>
    <row r="115" spans="2:14" x14ac:dyDescent="0.45">
      <c r="B115" s="12">
        <v>2</v>
      </c>
      <c r="C115" s="111">
        <v>18</v>
      </c>
      <c r="D115" s="12">
        <v>10</v>
      </c>
      <c r="E115" s="22">
        <f t="shared" si="8"/>
        <v>2.7726074415753628E-5</v>
      </c>
      <c r="F115" s="129">
        <f t="shared" si="9"/>
        <v>-2.7105054312137611E-20</v>
      </c>
      <c r="G115" s="22">
        <v>2.7726074415753601E-5</v>
      </c>
      <c r="H115" s="21">
        <f t="shared" si="10"/>
        <v>12.8</v>
      </c>
      <c r="I115" s="21">
        <v>12.8</v>
      </c>
      <c r="J115" s="23" t="s">
        <v>24</v>
      </c>
      <c r="K115" s="23" t="s">
        <v>24</v>
      </c>
      <c r="L115" s="22">
        <v>6.3538201383358996E-4</v>
      </c>
      <c r="M115" s="134">
        <f t="shared" si="11"/>
        <v>6.3538201383358584E-4</v>
      </c>
      <c r="N115" s="231">
        <f t="shared" si="12"/>
        <v>4.1199682554449168E-18</v>
      </c>
    </row>
    <row r="116" spans="2:14" x14ac:dyDescent="0.45">
      <c r="B116" s="12">
        <v>2</v>
      </c>
      <c r="C116" s="111">
        <v>19</v>
      </c>
      <c r="D116" s="12">
        <v>9</v>
      </c>
      <c r="E116" s="22">
        <f t="shared" si="8"/>
        <v>1.4592670745133487E-5</v>
      </c>
      <c r="F116" s="129">
        <f t="shared" si="9"/>
        <v>0</v>
      </c>
      <c r="G116" s="22">
        <v>1.4592670745133499E-5</v>
      </c>
      <c r="H116" s="21">
        <f t="shared" si="10"/>
        <v>14.6</v>
      </c>
      <c r="I116" s="21">
        <v>14.6</v>
      </c>
      <c r="J116" s="23" t="s">
        <v>24</v>
      </c>
      <c r="K116" s="23" t="s">
        <v>24</v>
      </c>
      <c r="L116" s="22">
        <v>3.2616623883719001E-4</v>
      </c>
      <c r="M116" s="134">
        <f t="shared" si="11"/>
        <v>3.2616623883719305E-4</v>
      </c>
      <c r="N116" s="231">
        <f t="shared" si="12"/>
        <v>-3.0357660829594124E-18</v>
      </c>
    </row>
    <row r="117" spans="2:14" x14ac:dyDescent="0.45">
      <c r="B117" s="12">
        <v>2</v>
      </c>
      <c r="C117" s="111">
        <v>20</v>
      </c>
      <c r="D117" s="12">
        <v>8</v>
      </c>
      <c r="E117" s="22">
        <f t="shared" si="8"/>
        <v>6.5667018353100693E-6</v>
      </c>
      <c r="F117" s="129">
        <f t="shared" si="9"/>
        <v>0</v>
      </c>
      <c r="G117" s="22">
        <v>6.5667018353100701E-6</v>
      </c>
      <c r="H117" s="21">
        <f t="shared" si="10"/>
        <v>16.8</v>
      </c>
      <c r="I117" s="21">
        <v>16.8</v>
      </c>
      <c r="J117" s="23" t="s">
        <v>24</v>
      </c>
      <c r="K117" s="23" t="s">
        <v>24</v>
      </c>
      <c r="L117" s="22">
        <v>1.4210854715202001E-4</v>
      </c>
      <c r="M117" s="134">
        <f t="shared" si="11"/>
        <v>1.4210854715201987E-4</v>
      </c>
      <c r="N117" s="231">
        <f t="shared" si="12"/>
        <v>0</v>
      </c>
    </row>
    <row r="118" spans="2:14" x14ac:dyDescent="0.45">
      <c r="B118" s="12">
        <v>2</v>
      </c>
      <c r="C118" s="111">
        <v>21</v>
      </c>
      <c r="D118" s="12">
        <v>7</v>
      </c>
      <c r="E118" s="22">
        <f t="shared" si="8"/>
        <v>2.5016006991657406E-6</v>
      </c>
      <c r="F118" s="129">
        <f t="shared" si="9"/>
        <v>0</v>
      </c>
      <c r="G118" s="22">
        <v>2.5016006991657402E-6</v>
      </c>
      <c r="H118" s="21">
        <f t="shared" si="10"/>
        <v>19.399999999999999</v>
      </c>
      <c r="I118" s="21">
        <v>19.399999999999999</v>
      </c>
      <c r="J118" s="23" t="s">
        <v>24</v>
      </c>
      <c r="K118" s="23" t="s">
        <v>24</v>
      </c>
      <c r="L118" s="22">
        <v>5.1957535038879999E-5</v>
      </c>
      <c r="M118" s="134">
        <f t="shared" si="11"/>
        <v>5.1957535038881375E-5</v>
      </c>
      <c r="N118" s="231">
        <f t="shared" si="12"/>
        <v>-1.3755815063409838E-18</v>
      </c>
    </row>
    <row r="119" spans="2:14" x14ac:dyDescent="0.45">
      <c r="B119" s="12">
        <v>2</v>
      </c>
      <c r="C119" s="111">
        <v>22</v>
      </c>
      <c r="D119" s="12">
        <v>6</v>
      </c>
      <c r="E119" s="22">
        <f t="shared" si="8"/>
        <v>7.95963858825463E-7</v>
      </c>
      <c r="F119" s="129">
        <f t="shared" si="9"/>
        <v>0</v>
      </c>
      <c r="G119" s="22">
        <v>7.95963858825463E-7</v>
      </c>
      <c r="H119" s="21">
        <f t="shared" si="10"/>
        <v>22.4</v>
      </c>
      <c r="I119" s="21">
        <v>22.4</v>
      </c>
      <c r="J119" s="23" t="s">
        <v>24</v>
      </c>
      <c r="K119" s="23" t="s">
        <v>24</v>
      </c>
      <c r="L119" s="22">
        <v>1.569399566389E-5</v>
      </c>
      <c r="M119" s="134">
        <f t="shared" si="11"/>
        <v>1.5693995663892659E-5</v>
      </c>
      <c r="N119" s="231">
        <f t="shared" si="12"/>
        <v>-2.6596834543785031E-18</v>
      </c>
    </row>
    <row r="120" spans="2:14" x14ac:dyDescent="0.45">
      <c r="B120" s="12">
        <v>2</v>
      </c>
      <c r="C120" s="111">
        <v>23</v>
      </c>
      <c r="D120" s="12">
        <v>5</v>
      </c>
      <c r="E120" s="22">
        <f t="shared" si="8"/>
        <v>2.0764274578055555E-7</v>
      </c>
      <c r="F120" s="129">
        <f t="shared" si="9"/>
        <v>4.4998625322884706E-22</v>
      </c>
      <c r="G120" s="22">
        <v>2.07642745780556E-7</v>
      </c>
      <c r="H120" s="21">
        <f t="shared" si="10"/>
        <v>25.8</v>
      </c>
      <c r="I120" s="21">
        <v>25.8</v>
      </c>
      <c r="J120" s="23" t="s">
        <v>24</v>
      </c>
      <c r="K120" s="23" t="s">
        <v>24</v>
      </c>
      <c r="L120" s="22">
        <v>3.8313317498700002E-6</v>
      </c>
      <c r="M120" s="134">
        <f t="shared" si="11"/>
        <v>3.8313317498718348E-6</v>
      </c>
      <c r="N120" s="231">
        <f t="shared" si="12"/>
        <v>-1.8346733637528145E-18</v>
      </c>
    </row>
    <row r="121" spans="2:14" x14ac:dyDescent="0.45">
      <c r="B121" s="12">
        <v>2</v>
      </c>
      <c r="C121" s="111">
        <v>24</v>
      </c>
      <c r="D121" s="12">
        <v>4</v>
      </c>
      <c r="E121" s="22">
        <f t="shared" si="8"/>
        <v>4.3258905370949076E-8</v>
      </c>
      <c r="F121" s="129">
        <f t="shared" si="9"/>
        <v>0</v>
      </c>
      <c r="G121" s="22">
        <v>4.3258905370949103E-8</v>
      </c>
      <c r="H121" s="21">
        <f t="shared" si="10"/>
        <v>29.6</v>
      </c>
      <c r="I121" s="21">
        <v>29.6</v>
      </c>
      <c r="J121" s="23" t="s">
        <v>24</v>
      </c>
      <c r="K121" s="23" t="s">
        <v>24</v>
      </c>
      <c r="L121" s="22">
        <v>7.3220087288000004E-7</v>
      </c>
      <c r="M121" s="134">
        <f t="shared" si="11"/>
        <v>7.3220087287920299E-7</v>
      </c>
      <c r="N121" s="231">
        <f t="shared" si="12"/>
        <v>7.9705800336629662E-19</v>
      </c>
    </row>
    <row r="122" spans="2:14" x14ac:dyDescent="0.45">
      <c r="B122" s="12">
        <v>2</v>
      </c>
      <c r="C122" s="111">
        <v>25</v>
      </c>
      <c r="D122" s="12">
        <v>3</v>
      </c>
      <c r="E122" s="22">
        <f t="shared" si="8"/>
        <v>6.9214248593518527E-9</v>
      </c>
      <c r="F122" s="129">
        <f t="shared" si="9"/>
        <v>0</v>
      </c>
      <c r="G122" s="22">
        <v>6.9214248593518502E-9</v>
      </c>
      <c r="H122" s="21">
        <f t="shared" si="10"/>
        <v>33.799999999999997</v>
      </c>
      <c r="I122" s="21">
        <v>33.799999999999997</v>
      </c>
      <c r="J122" s="23" t="s">
        <v>24</v>
      </c>
      <c r="K122" s="23" t="s">
        <v>24</v>
      </c>
      <c r="L122" s="22">
        <v>1.0424999137E-7</v>
      </c>
      <c r="M122" s="134">
        <f t="shared" si="11"/>
        <v>1.0424999137431702E-7</v>
      </c>
      <c r="N122" s="231">
        <f t="shared" si="12"/>
        <v>-4.3170225296897493E-18</v>
      </c>
    </row>
    <row r="123" spans="2:14" x14ac:dyDescent="0.45">
      <c r="B123" s="12">
        <v>2</v>
      </c>
      <c r="C123" s="111">
        <v>26</v>
      </c>
      <c r="D123" s="12">
        <v>2</v>
      </c>
      <c r="E123" s="22">
        <f t="shared" si="8"/>
        <v>7.9862594530982886E-10</v>
      </c>
      <c r="F123" s="129">
        <f t="shared" si="9"/>
        <v>0</v>
      </c>
      <c r="G123" s="22">
        <v>7.9862594530982897E-10</v>
      </c>
      <c r="H123" s="21">
        <f t="shared" si="10"/>
        <v>38.4</v>
      </c>
      <c r="I123" s="21">
        <v>38.4</v>
      </c>
      <c r="J123" s="23" t="s">
        <v>24</v>
      </c>
      <c r="K123" s="23" t="s">
        <v>24</v>
      </c>
      <c r="L123" s="22">
        <v>1.015249934E-8</v>
      </c>
      <c r="M123" s="134">
        <f t="shared" si="11"/>
        <v>1.0152499344058671E-8</v>
      </c>
      <c r="N123" s="231">
        <f t="shared" si="12"/>
        <v>-4.0586708633322873E-18</v>
      </c>
    </row>
    <row r="124" spans="2:14" x14ac:dyDescent="0.45">
      <c r="B124" s="12">
        <v>2</v>
      </c>
      <c r="C124" s="111">
        <v>27</v>
      </c>
      <c r="D124" s="12">
        <v>1</v>
      </c>
      <c r="E124" s="22">
        <f t="shared" si="8"/>
        <v>5.9157477430357713E-11</v>
      </c>
      <c r="F124" s="129">
        <f t="shared" si="9"/>
        <v>0</v>
      </c>
      <c r="G124" s="22">
        <v>5.91574774303577E-11</v>
      </c>
      <c r="H124" s="21">
        <f t="shared" si="10"/>
        <v>43.4</v>
      </c>
      <c r="I124" s="21">
        <v>43.4</v>
      </c>
      <c r="J124" s="23" t="s">
        <v>24</v>
      </c>
      <c r="K124" s="23" t="s">
        <v>24</v>
      </c>
      <c r="L124" s="22">
        <v>5.6379131000000002E-10</v>
      </c>
      <c r="M124" s="134">
        <f t="shared" si="11"/>
        <v>5.637913084321137E-10</v>
      </c>
      <c r="N124" s="231">
        <f t="shared" si="12"/>
        <v>1.5678863163036899E-18</v>
      </c>
    </row>
    <row r="125" spans="2:14" x14ac:dyDescent="0.45">
      <c r="B125" s="12">
        <v>2</v>
      </c>
      <c r="C125" s="111">
        <v>28</v>
      </c>
      <c r="D125" s="195">
        <v>0</v>
      </c>
      <c r="E125" s="22">
        <f t="shared" si="8"/>
        <v>2.1127670510842044E-12</v>
      </c>
      <c r="F125" s="129">
        <f t="shared" si="9"/>
        <v>-4.4428646182047385E-27</v>
      </c>
      <c r="G125" s="22">
        <v>2.1127670510841999E-12</v>
      </c>
      <c r="H125" s="21">
        <f t="shared" si="10"/>
        <v>48.8</v>
      </c>
      <c r="I125" s="21">
        <v>48.8</v>
      </c>
      <c r="J125" s="23" t="s">
        <v>24</v>
      </c>
      <c r="K125" s="23" t="s">
        <v>24</v>
      </c>
      <c r="L125" s="22">
        <v>7.5424999999999994E-12</v>
      </c>
      <c r="M125" s="207">
        <f>1/(((B125/10)^B125)*((C125/10)^C125))</f>
        <v>7.542496739176126E-12</v>
      </c>
      <c r="N125" s="231">
        <f t="shared" si="12"/>
        <v>3.26082387344887E-18</v>
      </c>
    </row>
    <row r="126" spans="2:14" x14ac:dyDescent="0.45">
      <c r="B126" s="12">
        <v>3</v>
      </c>
      <c r="C126" s="195">
        <v>0</v>
      </c>
      <c r="D126" s="12">
        <v>27</v>
      </c>
      <c r="E126" s="22">
        <f t="shared" si="8"/>
        <v>1.971915914345257E-11</v>
      </c>
      <c r="F126" s="129">
        <f t="shared" si="9"/>
        <v>2.9080568410067379E-26</v>
      </c>
      <c r="G126" s="22">
        <v>1.9719159143452599E-11</v>
      </c>
      <c r="H126" s="21">
        <f t="shared" si="10"/>
        <v>43.8</v>
      </c>
      <c r="I126" s="21">
        <v>43.8</v>
      </c>
      <c r="J126" s="23" t="s">
        <v>24</v>
      </c>
      <c r="K126" s="23" t="s">
        <v>24</v>
      </c>
      <c r="L126" s="22">
        <v>8.3524640000000003E-11</v>
      </c>
      <c r="M126" s="207">
        <f>1/(((B126/10)^B126)*((D126/10)^D126))</f>
        <v>8.352463828623908E-11</v>
      </c>
      <c r="N126" s="231">
        <f t="shared" si="12"/>
        <v>1.7137609227218205E-18</v>
      </c>
    </row>
    <row r="127" spans="2:14" x14ac:dyDescent="0.45">
      <c r="B127" s="12">
        <v>3</v>
      </c>
      <c r="C127" s="111">
        <v>1</v>
      </c>
      <c r="D127" s="12">
        <v>26</v>
      </c>
      <c r="E127" s="22">
        <f t="shared" si="8"/>
        <v>5.3241729687321921E-10</v>
      </c>
      <c r="F127" s="129">
        <f t="shared" si="9"/>
        <v>8.2718061255302767E-25</v>
      </c>
      <c r="G127" s="22">
        <v>5.3241729687322004E-10</v>
      </c>
      <c r="H127" s="21">
        <f t="shared" si="10"/>
        <v>38.6</v>
      </c>
      <c r="I127" s="21">
        <v>38.6</v>
      </c>
      <c r="J127" s="23" t="s">
        <v>24</v>
      </c>
      <c r="K127" s="23" t="s">
        <v>24</v>
      </c>
      <c r="L127" s="22">
        <v>6.0162959099999998E-9</v>
      </c>
      <c r="M127" s="134">
        <f t="shared" si="11"/>
        <v>6.0162959075903259E-9</v>
      </c>
      <c r="N127" s="231">
        <f t="shared" si="12"/>
        <v>2.4096739044986383E-18</v>
      </c>
    </row>
    <row r="128" spans="2:14" x14ac:dyDescent="0.45">
      <c r="B128" s="12">
        <v>3</v>
      </c>
      <c r="C128" s="111">
        <v>2</v>
      </c>
      <c r="D128" s="12">
        <v>25</v>
      </c>
      <c r="E128" s="22">
        <f t="shared" si="8"/>
        <v>6.9214248593518527E-9</v>
      </c>
      <c r="F128" s="129">
        <f t="shared" si="9"/>
        <v>0</v>
      </c>
      <c r="G128" s="22">
        <v>6.9214248593518502E-9</v>
      </c>
      <c r="H128" s="21">
        <f t="shared" si="10"/>
        <v>33.799999999999997</v>
      </c>
      <c r="I128" s="21">
        <v>33.799999999999997</v>
      </c>
      <c r="J128" s="23" t="s">
        <v>24</v>
      </c>
      <c r="K128" s="23" t="s">
        <v>24</v>
      </c>
      <c r="L128" s="22">
        <v>1.0424999137E-7</v>
      </c>
      <c r="M128" s="134">
        <f t="shared" si="11"/>
        <v>1.0424999137431699E-7</v>
      </c>
      <c r="N128" s="231">
        <f t="shared" si="12"/>
        <v>-4.3169960599101476E-18</v>
      </c>
    </row>
    <row r="129" spans="2:14" x14ac:dyDescent="0.45">
      <c r="B129" s="12">
        <v>3</v>
      </c>
      <c r="C129" s="111">
        <v>3</v>
      </c>
      <c r="D129" s="12">
        <v>24</v>
      </c>
      <c r="E129" s="22">
        <f t="shared" si="8"/>
        <v>5.7678540494598773E-8</v>
      </c>
      <c r="F129" s="129">
        <f t="shared" si="9"/>
        <v>0</v>
      </c>
      <c r="G129" s="22">
        <v>5.7678540494598799E-8</v>
      </c>
      <c r="H129" s="21">
        <f t="shared" si="10"/>
        <v>29.4</v>
      </c>
      <c r="I129" s="21">
        <v>29.4</v>
      </c>
      <c r="J129" s="23" t="s">
        <v>24</v>
      </c>
      <c r="K129" s="23" t="s">
        <v>24</v>
      </c>
      <c r="L129" s="22">
        <v>1.02849615066E-6</v>
      </c>
      <c r="M129" s="134">
        <f t="shared" si="11"/>
        <v>1.0284961506561102E-6</v>
      </c>
      <c r="N129" s="231">
        <f t="shared" si="12"/>
        <v>3.8897870520285607E-18</v>
      </c>
    </row>
    <row r="130" spans="2:14" x14ac:dyDescent="0.45">
      <c r="B130" s="12">
        <v>3</v>
      </c>
      <c r="C130" s="111">
        <v>4</v>
      </c>
      <c r="D130" s="12">
        <v>23</v>
      </c>
      <c r="E130" s="22">
        <f t="shared" si="8"/>
        <v>3.4607124296759256E-7</v>
      </c>
      <c r="F130" s="129">
        <f t="shared" si="9"/>
        <v>4.2351647362715017E-22</v>
      </c>
      <c r="G130" s="22">
        <v>3.4607124296759298E-7</v>
      </c>
      <c r="H130" s="21">
        <f t="shared" si="10"/>
        <v>25.4</v>
      </c>
      <c r="I130" s="21">
        <v>25.4</v>
      </c>
      <c r="J130" s="23" t="s">
        <v>24</v>
      </c>
      <c r="K130" s="23" t="s">
        <v>24</v>
      </c>
      <c r="L130" s="22">
        <v>6.9287683555299997E-6</v>
      </c>
      <c r="M130" s="134">
        <f t="shared" si="11"/>
        <v>6.9287683555263193E-6</v>
      </c>
      <c r="N130" s="231">
        <f t="shared" si="12"/>
        <v>3.680358155819935E-18</v>
      </c>
    </row>
    <row r="131" spans="2:14" x14ac:dyDescent="0.45">
      <c r="B131" s="12">
        <v>3</v>
      </c>
      <c r="C131" s="111">
        <v>5</v>
      </c>
      <c r="D131" s="12">
        <v>22</v>
      </c>
      <c r="E131" s="22">
        <f t="shared" si="8"/>
        <v>1.591927717650926E-6</v>
      </c>
      <c r="F131" s="129">
        <f t="shared" si="9"/>
        <v>4.0234064994579266E-21</v>
      </c>
      <c r="G131" s="22">
        <v>1.59192771765093E-6</v>
      </c>
      <c r="H131" s="21">
        <f t="shared" si="10"/>
        <v>21.8</v>
      </c>
      <c r="I131" s="21">
        <v>21.8</v>
      </c>
      <c r="J131" s="23" t="s">
        <v>24</v>
      </c>
      <c r="K131" s="23" t="s">
        <v>24</v>
      </c>
      <c r="L131" s="22">
        <v>3.4712607369219998E-5</v>
      </c>
      <c r="M131" s="134">
        <f t="shared" si="11"/>
        <v>3.4712607369224341E-5</v>
      </c>
      <c r="N131" s="231">
        <f t="shared" si="12"/>
        <v>-4.3435849535200521E-18</v>
      </c>
    </row>
    <row r="132" spans="2:14" x14ac:dyDescent="0.45">
      <c r="B132" s="12">
        <v>3</v>
      </c>
      <c r="C132" s="111">
        <v>6</v>
      </c>
      <c r="D132" s="12">
        <v>21</v>
      </c>
      <c r="E132" s="22">
        <f t="shared" si="8"/>
        <v>5.8370682980533948E-6</v>
      </c>
      <c r="F132" s="129">
        <f t="shared" si="9"/>
        <v>0</v>
      </c>
      <c r="G132" s="22">
        <v>5.8370682980533999E-6</v>
      </c>
      <c r="H132" s="21">
        <f t="shared" si="10"/>
        <v>18.600000000000001</v>
      </c>
      <c r="I132" s="21">
        <v>18.600000000000001</v>
      </c>
      <c r="J132" s="23" t="s">
        <v>24</v>
      </c>
      <c r="K132" s="23" t="s">
        <v>24</v>
      </c>
      <c r="L132" s="22">
        <v>1.358699902153E-4</v>
      </c>
      <c r="M132" s="134">
        <f t="shared" si="11"/>
        <v>1.3586999021530469E-4</v>
      </c>
      <c r="N132" s="231">
        <f t="shared" si="12"/>
        <v>-4.6891743959998067E-18</v>
      </c>
    </row>
    <row r="133" spans="2:14" x14ac:dyDescent="0.45">
      <c r="B133" s="12">
        <v>3</v>
      </c>
      <c r="C133" s="111">
        <v>7</v>
      </c>
      <c r="D133" s="12">
        <v>20</v>
      </c>
      <c r="E133" s="22">
        <f t="shared" si="8"/>
        <v>1.7511204894160184E-5</v>
      </c>
      <c r="F133" s="129">
        <f t="shared" si="9"/>
        <v>0</v>
      </c>
      <c r="G133" s="22">
        <v>1.7511204894160201E-5</v>
      </c>
      <c r="H133" s="21">
        <f t="shared" si="10"/>
        <v>15.8</v>
      </c>
      <c r="I133" s="21">
        <v>15.8</v>
      </c>
      <c r="J133" s="23" t="s">
        <v>24</v>
      </c>
      <c r="K133" s="23" t="s">
        <v>24</v>
      </c>
      <c r="L133" s="22">
        <v>4.2889407083793998E-4</v>
      </c>
      <c r="M133" s="134">
        <f t="shared" si="11"/>
        <v>4.2889407083794389E-4</v>
      </c>
      <c r="N133" s="231">
        <f t="shared" si="12"/>
        <v>-3.903127820947816E-18</v>
      </c>
    </row>
    <row r="134" spans="2:14" x14ac:dyDescent="0.45">
      <c r="B134" s="12">
        <v>3</v>
      </c>
      <c r="C134" s="111">
        <v>8</v>
      </c>
      <c r="D134" s="12">
        <v>19</v>
      </c>
      <c r="E134" s="22">
        <f t="shared" si="8"/>
        <v>4.3778012235400464E-5</v>
      </c>
      <c r="F134" s="129">
        <f t="shared" si="9"/>
        <v>0</v>
      </c>
      <c r="G134" s="22">
        <v>4.3778012235400498E-5</v>
      </c>
      <c r="H134" s="21">
        <f t="shared" si="10"/>
        <v>13.4</v>
      </c>
      <c r="I134" s="21">
        <v>13.4</v>
      </c>
      <c r="J134" s="23" t="s">
        <v>24</v>
      </c>
      <c r="K134" s="23" t="s">
        <v>24</v>
      </c>
      <c r="L134" s="22">
        <v>1.1158297127758701E-3</v>
      </c>
      <c r="M134" s="134">
        <f t="shared" si="11"/>
        <v>1.115829712775867E-3</v>
      </c>
      <c r="N134" s="231">
        <f t="shared" si="12"/>
        <v>3.0357660829594124E-18</v>
      </c>
    </row>
    <row r="135" spans="2:14" x14ac:dyDescent="0.45">
      <c r="B135" s="12">
        <v>3</v>
      </c>
      <c r="C135" s="111">
        <v>9</v>
      </c>
      <c r="D135" s="12">
        <v>18</v>
      </c>
      <c r="E135" s="22">
        <f t="shared" si="8"/>
        <v>9.2420248052512083E-5</v>
      </c>
      <c r="F135" s="129">
        <f t="shared" si="9"/>
        <v>0</v>
      </c>
      <c r="G135" s="22">
        <v>9.2420248052512097E-5</v>
      </c>
      <c r="H135" s="21">
        <f t="shared" si="10"/>
        <v>11.4</v>
      </c>
      <c r="I135" s="21">
        <v>11.4</v>
      </c>
      <c r="J135" s="23" t="s">
        <v>24</v>
      </c>
      <c r="K135" s="23" t="s">
        <v>24</v>
      </c>
      <c r="L135" s="22">
        <v>2.4296770921707002E-3</v>
      </c>
      <c r="M135" s="134">
        <f t="shared" si="11"/>
        <v>2.429677092170692E-3</v>
      </c>
      <c r="N135" s="231">
        <f t="shared" si="12"/>
        <v>8.2399365108898337E-18</v>
      </c>
    </row>
    <row r="136" spans="2:14" x14ac:dyDescent="0.45">
      <c r="B136" s="12">
        <v>3</v>
      </c>
      <c r="C136" s="111">
        <v>10</v>
      </c>
      <c r="D136" s="12">
        <v>17</v>
      </c>
      <c r="E136" s="22">
        <f t="shared" si="8"/>
        <v>1.6635644649452177E-4</v>
      </c>
      <c r="F136" s="129">
        <f t="shared" si="9"/>
        <v>2.439454888092385E-19</v>
      </c>
      <c r="G136" s="22">
        <v>1.6635644649452201E-4</v>
      </c>
      <c r="H136" s="21">
        <f t="shared" si="10"/>
        <v>9.8000000000000007</v>
      </c>
      <c r="I136" s="21">
        <v>9.8000000000000007</v>
      </c>
      <c r="J136" s="23" t="s">
        <v>24</v>
      </c>
      <c r="K136" s="23" t="s">
        <v>24</v>
      </c>
      <c r="L136" s="22">
        <v>4.4771801788977697E-3</v>
      </c>
      <c r="M136" s="134">
        <f t="shared" si="11"/>
        <v>4.4771801788977689E-3</v>
      </c>
      <c r="N136" s="231">
        <f t="shared" si="12"/>
        <v>0</v>
      </c>
    </row>
    <row r="137" spans="2:14" x14ac:dyDescent="0.45">
      <c r="B137" s="12">
        <v>3</v>
      </c>
      <c r="C137" s="111">
        <v>11</v>
      </c>
      <c r="D137" s="12">
        <v>16</v>
      </c>
      <c r="E137" s="22">
        <f t="shared" si="8"/>
        <v>2.5709632640062453E-4</v>
      </c>
      <c r="F137" s="129">
        <f t="shared" si="9"/>
        <v>4.87890977618477E-19</v>
      </c>
      <c r="G137" s="22">
        <v>2.5709632640062501E-4</v>
      </c>
      <c r="H137" s="21">
        <f t="shared" si="10"/>
        <v>8.6</v>
      </c>
      <c r="I137" s="21">
        <v>8.6</v>
      </c>
      <c r="J137" s="23" t="s">
        <v>24</v>
      </c>
      <c r="K137" s="23" t="s">
        <v>24</v>
      </c>
      <c r="L137" s="22">
        <v>7.0371527270489198E-3</v>
      </c>
      <c r="M137" s="134">
        <f t="shared" si="11"/>
        <v>7.0371527270489042E-3</v>
      </c>
      <c r="N137" s="231">
        <f t="shared" si="12"/>
        <v>1.5612511283791264E-17</v>
      </c>
    </row>
    <row r="138" spans="2:14" x14ac:dyDescent="0.45">
      <c r="B138" s="12">
        <v>3</v>
      </c>
      <c r="C138" s="111">
        <v>12</v>
      </c>
      <c r="D138" s="12">
        <v>15</v>
      </c>
      <c r="E138" s="22">
        <f t="shared" si="8"/>
        <v>3.4279510186749937E-4</v>
      </c>
      <c r="F138" s="129">
        <f t="shared" si="9"/>
        <v>6.5052130349130266E-19</v>
      </c>
      <c r="G138" s="22">
        <v>3.4279510186750002E-4</v>
      </c>
      <c r="H138" s="21">
        <f t="shared" si="10"/>
        <v>7.8</v>
      </c>
      <c r="I138" s="21">
        <v>7.8</v>
      </c>
      <c r="J138" s="23" t="s">
        <v>24</v>
      </c>
      <c r="K138" s="23" t="s">
        <v>24</v>
      </c>
      <c r="L138" s="22">
        <v>9.48620263597434E-3</v>
      </c>
      <c r="M138" s="134">
        <f t="shared" si="11"/>
        <v>9.48620263597434E-3</v>
      </c>
      <c r="N138" s="231">
        <f t="shared" si="12"/>
        <v>0</v>
      </c>
    </row>
    <row r="139" spans="2:14" x14ac:dyDescent="0.45">
      <c r="B139" s="12">
        <v>3</v>
      </c>
      <c r="C139" s="111">
        <v>13</v>
      </c>
      <c r="D139" s="12">
        <v>14</v>
      </c>
      <c r="E139" s="22">
        <f t="shared" si="8"/>
        <v>3.9553280984711464E-4</v>
      </c>
      <c r="F139" s="129">
        <f t="shared" si="9"/>
        <v>0</v>
      </c>
      <c r="G139" s="22">
        <v>3.9553280984711502E-4</v>
      </c>
      <c r="H139" s="21">
        <f t="shared" si="10"/>
        <v>7.4</v>
      </c>
      <c r="I139" s="21">
        <v>7.4</v>
      </c>
      <c r="J139" s="23" t="s">
        <v>24</v>
      </c>
      <c r="K139" s="23" t="s">
        <v>24</v>
      </c>
      <c r="L139" s="22">
        <v>1.1004749377263499E-2</v>
      </c>
      <c r="M139" s="134">
        <f t="shared" si="11"/>
        <v>1.1004749377263576E-2</v>
      </c>
      <c r="N139" s="231">
        <f t="shared" si="12"/>
        <v>-7.6327832942979512E-17</v>
      </c>
    </row>
    <row r="140" spans="2:14" x14ac:dyDescent="0.45">
      <c r="B140" s="12">
        <v>3</v>
      </c>
      <c r="C140" s="111">
        <v>14</v>
      </c>
      <c r="D140" s="12">
        <v>13</v>
      </c>
      <c r="E140" s="22">
        <f t="shared" si="8"/>
        <v>3.9553280984711464E-4</v>
      </c>
      <c r="F140" s="129">
        <f t="shared" si="9"/>
        <v>0</v>
      </c>
      <c r="G140" s="22">
        <v>3.9553280984711502E-4</v>
      </c>
      <c r="H140" s="21">
        <f t="shared" si="10"/>
        <v>7.4</v>
      </c>
      <c r="I140" s="21">
        <v>7.4</v>
      </c>
      <c r="J140" s="23" t="s">
        <v>24</v>
      </c>
      <c r="K140" s="23" t="s">
        <v>24</v>
      </c>
      <c r="L140" s="22">
        <v>1.1004749377263499E-2</v>
      </c>
      <c r="M140" s="134">
        <f t="shared" si="11"/>
        <v>1.1004749377263577E-2</v>
      </c>
      <c r="N140" s="231">
        <f t="shared" si="12"/>
        <v>-7.8062556418956319E-17</v>
      </c>
    </row>
    <row r="141" spans="2:14" x14ac:dyDescent="0.45">
      <c r="B141" s="12">
        <v>3</v>
      </c>
      <c r="C141" s="111">
        <v>15</v>
      </c>
      <c r="D141" s="12">
        <v>12</v>
      </c>
      <c r="E141" s="22">
        <f t="shared" si="8"/>
        <v>3.4279510186749937E-4</v>
      </c>
      <c r="F141" s="129">
        <f t="shared" si="9"/>
        <v>6.5052130349130266E-19</v>
      </c>
      <c r="G141" s="22">
        <v>3.4279510186750002E-4</v>
      </c>
      <c r="H141" s="21">
        <f t="shared" si="10"/>
        <v>7.8</v>
      </c>
      <c r="I141" s="21">
        <v>7.8</v>
      </c>
      <c r="J141" s="23" t="s">
        <v>24</v>
      </c>
      <c r="K141" s="23" t="s">
        <v>24</v>
      </c>
      <c r="L141" s="22">
        <v>9.48620263597434E-3</v>
      </c>
      <c r="M141" s="134">
        <f t="shared" si="11"/>
        <v>9.48620263597434E-3</v>
      </c>
      <c r="N141" s="231">
        <f t="shared" si="12"/>
        <v>0</v>
      </c>
    </row>
    <row r="142" spans="2:14" x14ac:dyDescent="0.45">
      <c r="B142" s="12">
        <v>3</v>
      </c>
      <c r="C142" s="111">
        <v>16</v>
      </c>
      <c r="D142" s="12">
        <v>11</v>
      </c>
      <c r="E142" s="22">
        <f t="shared" si="8"/>
        <v>2.5709632640062453E-4</v>
      </c>
      <c r="F142" s="129">
        <f t="shared" si="9"/>
        <v>4.87890977618477E-19</v>
      </c>
      <c r="G142" s="22">
        <v>2.5709632640062501E-4</v>
      </c>
      <c r="H142" s="21">
        <f t="shared" si="10"/>
        <v>8.6</v>
      </c>
      <c r="I142" s="21">
        <v>8.6</v>
      </c>
      <c r="J142" s="23" t="s">
        <v>24</v>
      </c>
      <c r="K142" s="23" t="s">
        <v>24</v>
      </c>
      <c r="L142" s="22">
        <v>7.0371527270489198E-3</v>
      </c>
      <c r="M142" s="134">
        <f t="shared" si="11"/>
        <v>7.0371527270489042E-3</v>
      </c>
      <c r="N142" s="231">
        <f t="shared" si="12"/>
        <v>1.5612511283791264E-17</v>
      </c>
    </row>
    <row r="143" spans="2:14" x14ac:dyDescent="0.45">
      <c r="B143" s="12">
        <v>3</v>
      </c>
      <c r="C143" s="111">
        <v>17</v>
      </c>
      <c r="D143" s="12">
        <v>10</v>
      </c>
      <c r="E143" s="22">
        <f t="shared" si="8"/>
        <v>1.6635644649452177E-4</v>
      </c>
      <c r="F143" s="129">
        <f t="shared" si="9"/>
        <v>2.439454888092385E-19</v>
      </c>
      <c r="G143" s="22">
        <v>1.6635644649452201E-4</v>
      </c>
      <c r="H143" s="21">
        <f t="shared" si="10"/>
        <v>9.8000000000000007</v>
      </c>
      <c r="I143" s="21">
        <v>9.8000000000000007</v>
      </c>
      <c r="J143" s="23" t="s">
        <v>24</v>
      </c>
      <c r="K143" s="23" t="s">
        <v>24</v>
      </c>
      <c r="L143" s="22">
        <v>4.4771801788977697E-3</v>
      </c>
      <c r="M143" s="134">
        <f t="shared" si="11"/>
        <v>4.4771801788977689E-3</v>
      </c>
      <c r="N143" s="231">
        <f t="shared" si="12"/>
        <v>0</v>
      </c>
    </row>
    <row r="144" spans="2:14" x14ac:dyDescent="0.45">
      <c r="B144" s="12">
        <v>3</v>
      </c>
      <c r="C144" s="111">
        <v>18</v>
      </c>
      <c r="D144" s="12">
        <v>9</v>
      </c>
      <c r="E144" s="22">
        <f t="shared" si="8"/>
        <v>9.2420248052512083E-5</v>
      </c>
      <c r="F144" s="129">
        <f t="shared" si="9"/>
        <v>0</v>
      </c>
      <c r="G144" s="22">
        <v>9.2420248052512097E-5</v>
      </c>
      <c r="H144" s="21">
        <f t="shared" si="10"/>
        <v>11.4</v>
      </c>
      <c r="I144" s="21">
        <v>11.4</v>
      </c>
      <c r="J144" s="23" t="s">
        <v>24</v>
      </c>
      <c r="K144" s="23" t="s">
        <v>24</v>
      </c>
      <c r="L144" s="22">
        <v>2.4296770921707002E-3</v>
      </c>
      <c r="M144" s="134">
        <f t="shared" si="11"/>
        <v>2.429677092170692E-3</v>
      </c>
      <c r="N144" s="231">
        <f t="shared" si="12"/>
        <v>8.2399365108898337E-18</v>
      </c>
    </row>
    <row r="145" spans="2:14" x14ac:dyDescent="0.45">
      <c r="B145" s="12">
        <v>3</v>
      </c>
      <c r="C145" s="111">
        <v>19</v>
      </c>
      <c r="D145" s="12">
        <v>8</v>
      </c>
      <c r="E145" s="22">
        <f t="shared" si="8"/>
        <v>4.3778012235400464E-5</v>
      </c>
      <c r="F145" s="129">
        <f t="shared" si="9"/>
        <v>0</v>
      </c>
      <c r="G145" s="22">
        <v>4.3778012235400498E-5</v>
      </c>
      <c r="H145" s="21">
        <f t="shared" si="10"/>
        <v>13.4</v>
      </c>
      <c r="I145" s="21">
        <v>13.4</v>
      </c>
      <c r="J145" s="23" t="s">
        <v>24</v>
      </c>
      <c r="K145" s="23" t="s">
        <v>24</v>
      </c>
      <c r="L145" s="22">
        <v>1.1158297127758701E-3</v>
      </c>
      <c r="M145" s="134">
        <f t="shared" si="11"/>
        <v>1.1158297127758668E-3</v>
      </c>
      <c r="N145" s="231">
        <f t="shared" si="12"/>
        <v>3.2526065174565133E-18</v>
      </c>
    </row>
    <row r="146" spans="2:14" x14ac:dyDescent="0.45">
      <c r="B146" s="12">
        <v>3</v>
      </c>
      <c r="C146" s="111">
        <v>20</v>
      </c>
      <c r="D146" s="12">
        <v>7</v>
      </c>
      <c r="E146" s="22">
        <f t="shared" si="8"/>
        <v>1.7511204894160184E-5</v>
      </c>
      <c r="F146" s="129">
        <f t="shared" si="9"/>
        <v>0</v>
      </c>
      <c r="G146" s="22">
        <v>1.7511204894160201E-5</v>
      </c>
      <c r="H146" s="21">
        <f t="shared" si="10"/>
        <v>15.8</v>
      </c>
      <c r="I146" s="21">
        <v>15.8</v>
      </c>
      <c r="J146" s="23" t="s">
        <v>24</v>
      </c>
      <c r="K146" s="23" t="s">
        <v>24</v>
      </c>
      <c r="L146" s="22">
        <v>4.2889407083793998E-4</v>
      </c>
      <c r="M146" s="134">
        <f t="shared" si="11"/>
        <v>4.2889407083794389E-4</v>
      </c>
      <c r="N146" s="231">
        <f t="shared" si="12"/>
        <v>-3.903127820947816E-18</v>
      </c>
    </row>
    <row r="147" spans="2:14" x14ac:dyDescent="0.45">
      <c r="B147" s="12">
        <v>3</v>
      </c>
      <c r="C147" s="111">
        <v>21</v>
      </c>
      <c r="D147" s="12">
        <v>6</v>
      </c>
      <c r="E147" s="22">
        <f t="shared" si="8"/>
        <v>5.8370682980533948E-6</v>
      </c>
      <c r="F147" s="129">
        <f t="shared" si="9"/>
        <v>0</v>
      </c>
      <c r="G147" s="22">
        <v>5.8370682980533999E-6</v>
      </c>
      <c r="H147" s="21">
        <f t="shared" si="10"/>
        <v>18.600000000000001</v>
      </c>
      <c r="I147" s="21">
        <v>18.600000000000001</v>
      </c>
      <c r="J147" s="23" t="s">
        <v>24</v>
      </c>
      <c r="K147" s="23" t="s">
        <v>24</v>
      </c>
      <c r="L147" s="22">
        <v>1.358699902153E-4</v>
      </c>
      <c r="M147" s="134">
        <f t="shared" si="11"/>
        <v>1.3586999021530466E-4</v>
      </c>
      <c r="N147" s="231">
        <f t="shared" si="12"/>
        <v>-4.6620693416876691E-18</v>
      </c>
    </row>
    <row r="148" spans="2:14" x14ac:dyDescent="0.45">
      <c r="B148" s="12">
        <v>3</v>
      </c>
      <c r="C148" s="111">
        <v>22</v>
      </c>
      <c r="D148" s="12">
        <v>5</v>
      </c>
      <c r="E148" s="22">
        <f t="shared" si="8"/>
        <v>1.591927717650926E-6</v>
      </c>
      <c r="F148" s="129">
        <f t="shared" si="9"/>
        <v>4.0234064994579266E-21</v>
      </c>
      <c r="G148" s="22">
        <v>1.59192771765093E-6</v>
      </c>
      <c r="H148" s="21">
        <f t="shared" si="10"/>
        <v>21.8</v>
      </c>
      <c r="I148" s="21">
        <v>21.8</v>
      </c>
      <c r="J148" s="23" t="s">
        <v>24</v>
      </c>
      <c r="K148" s="23" t="s">
        <v>24</v>
      </c>
      <c r="L148" s="22">
        <v>3.4712607369219998E-5</v>
      </c>
      <c r="M148" s="134">
        <f t="shared" si="11"/>
        <v>3.4712607369224341E-5</v>
      </c>
      <c r="N148" s="231">
        <f t="shared" si="12"/>
        <v>-4.3435849535200521E-18</v>
      </c>
    </row>
    <row r="149" spans="2:14" x14ac:dyDescent="0.45">
      <c r="B149" s="12">
        <v>3</v>
      </c>
      <c r="C149" s="111">
        <v>23</v>
      </c>
      <c r="D149" s="12">
        <v>4</v>
      </c>
      <c r="E149" s="22">
        <f t="shared" si="8"/>
        <v>3.4607124296759261E-7</v>
      </c>
      <c r="F149" s="129">
        <f t="shared" si="9"/>
        <v>0</v>
      </c>
      <c r="G149" s="22">
        <v>3.4607124296759298E-7</v>
      </c>
      <c r="H149" s="21">
        <f t="shared" si="10"/>
        <v>25.4</v>
      </c>
      <c r="I149" s="21">
        <v>25.4</v>
      </c>
      <c r="J149" s="23" t="s">
        <v>24</v>
      </c>
      <c r="K149" s="23" t="s">
        <v>24</v>
      </c>
      <c r="L149" s="22">
        <v>6.9287683555299997E-6</v>
      </c>
      <c r="M149" s="134">
        <f t="shared" si="11"/>
        <v>6.928768355526321E-6</v>
      </c>
      <c r="N149" s="231">
        <f t="shared" si="12"/>
        <v>3.6786640899254264E-18</v>
      </c>
    </row>
    <row r="150" spans="2:14" x14ac:dyDescent="0.45">
      <c r="B150" s="12">
        <v>3</v>
      </c>
      <c r="C150" s="111">
        <v>24</v>
      </c>
      <c r="D150" s="12">
        <v>3</v>
      </c>
      <c r="E150" s="22">
        <f t="shared" si="8"/>
        <v>5.7678540494598773E-8</v>
      </c>
      <c r="F150" s="129">
        <f t="shared" si="9"/>
        <v>0</v>
      </c>
      <c r="G150" s="22">
        <v>5.7678540494598799E-8</v>
      </c>
      <c r="H150" s="21">
        <f t="shared" si="10"/>
        <v>29.4</v>
      </c>
      <c r="I150" s="21">
        <v>29.4</v>
      </c>
      <c r="J150" s="23" t="s">
        <v>24</v>
      </c>
      <c r="K150" s="23" t="s">
        <v>24</v>
      </c>
      <c r="L150" s="22">
        <v>1.02849615066E-6</v>
      </c>
      <c r="M150" s="134">
        <f t="shared" si="11"/>
        <v>1.0284961506561102E-6</v>
      </c>
      <c r="N150" s="231">
        <f t="shared" si="12"/>
        <v>3.8897870520285607E-18</v>
      </c>
    </row>
    <row r="151" spans="2:14" x14ac:dyDescent="0.45">
      <c r="B151" s="12">
        <v>3</v>
      </c>
      <c r="C151" s="111">
        <v>25</v>
      </c>
      <c r="D151" s="12">
        <v>2</v>
      </c>
      <c r="E151" s="22">
        <f t="shared" si="8"/>
        <v>6.9214248593518527E-9</v>
      </c>
      <c r="F151" s="129">
        <f t="shared" si="9"/>
        <v>0</v>
      </c>
      <c r="G151" s="22">
        <v>6.9214248593518502E-9</v>
      </c>
      <c r="H151" s="21">
        <f t="shared" si="10"/>
        <v>33.799999999999997</v>
      </c>
      <c r="I151" s="21">
        <v>33.799999999999997</v>
      </c>
      <c r="J151" s="23" t="s">
        <v>24</v>
      </c>
      <c r="K151" s="23" t="s">
        <v>24</v>
      </c>
      <c r="L151" s="22">
        <v>1.0424999137E-7</v>
      </c>
      <c r="M151" s="134">
        <f t="shared" si="11"/>
        <v>1.0424999137431702E-7</v>
      </c>
      <c r="N151" s="231">
        <f t="shared" si="12"/>
        <v>-4.3170225296897493E-18</v>
      </c>
    </row>
    <row r="152" spans="2:14" x14ac:dyDescent="0.45">
      <c r="B152" s="12">
        <v>3</v>
      </c>
      <c r="C152" s="111">
        <v>26</v>
      </c>
      <c r="D152" s="12">
        <v>1</v>
      </c>
      <c r="E152" s="22">
        <f t="shared" si="8"/>
        <v>5.3241729687321921E-10</v>
      </c>
      <c r="F152" s="129">
        <f t="shared" si="9"/>
        <v>8.2718061255302767E-25</v>
      </c>
      <c r="G152" s="22">
        <v>5.3241729687322004E-10</v>
      </c>
      <c r="H152" s="21">
        <f t="shared" si="10"/>
        <v>38.6</v>
      </c>
      <c r="I152" s="21">
        <v>38.6</v>
      </c>
      <c r="J152" s="23" t="s">
        <v>24</v>
      </c>
      <c r="K152" s="23" t="s">
        <v>24</v>
      </c>
      <c r="L152" s="22">
        <v>6.0162959099999998E-9</v>
      </c>
      <c r="M152" s="134">
        <f t="shared" si="11"/>
        <v>6.0162959075903259E-9</v>
      </c>
      <c r="N152" s="231">
        <f t="shared" si="12"/>
        <v>2.4096739044986383E-18</v>
      </c>
    </row>
    <row r="153" spans="2:14" x14ac:dyDescent="0.45">
      <c r="B153" s="12">
        <v>3</v>
      </c>
      <c r="C153" s="111">
        <v>27</v>
      </c>
      <c r="D153" s="195">
        <v>0</v>
      </c>
      <c r="E153" s="22">
        <f t="shared" si="8"/>
        <v>1.971915914345257E-11</v>
      </c>
      <c r="F153" s="129">
        <f t="shared" si="9"/>
        <v>2.9080568410067379E-26</v>
      </c>
      <c r="G153" s="22">
        <v>1.9719159143452599E-11</v>
      </c>
      <c r="H153" s="21">
        <f t="shared" si="10"/>
        <v>43.8</v>
      </c>
      <c r="I153" s="21">
        <v>43.8</v>
      </c>
      <c r="J153" s="23" t="s">
        <v>24</v>
      </c>
      <c r="K153" s="23" t="s">
        <v>24</v>
      </c>
      <c r="L153" s="22">
        <v>8.3524640000000003E-11</v>
      </c>
      <c r="M153" s="207">
        <f>1/(((B153/10)^B153)*((C153/10)^C153))</f>
        <v>8.352463828623908E-11</v>
      </c>
      <c r="N153" s="231">
        <f t="shared" si="12"/>
        <v>1.7137609227218205E-18</v>
      </c>
    </row>
    <row r="154" spans="2:14" x14ac:dyDescent="0.45">
      <c r="B154" s="12">
        <v>4</v>
      </c>
      <c r="C154" s="195">
        <v>0</v>
      </c>
      <c r="D154" s="12">
        <v>26</v>
      </c>
      <c r="E154" s="22">
        <f t="shared" si="8"/>
        <v>1.331043242183048E-10</v>
      </c>
      <c r="F154" s="129">
        <f t="shared" si="9"/>
        <v>2.0679515313825692E-25</v>
      </c>
      <c r="G154" s="22">
        <v>1.3310432421830501E-10</v>
      </c>
      <c r="H154" s="21">
        <f t="shared" si="10"/>
        <v>39.200000000000003</v>
      </c>
      <c r="I154" s="21">
        <v>39.200000000000003</v>
      </c>
      <c r="J154" s="23" t="s">
        <v>24</v>
      </c>
      <c r="K154" s="23" t="s">
        <v>24</v>
      </c>
      <c r="L154" s="22">
        <v>6.3453120999999999E-10</v>
      </c>
      <c r="M154" s="207">
        <f>1/(((B154/10)^B154)*((D154/10)^D154))</f>
        <v>6.3453120900366684E-10</v>
      </c>
      <c r="N154" s="231">
        <f t="shared" si="12"/>
        <v>9.9633315415825739E-19</v>
      </c>
    </row>
    <row r="155" spans="2:14" x14ac:dyDescent="0.45">
      <c r="B155" s="12">
        <v>4</v>
      </c>
      <c r="C155" s="111">
        <v>1</v>
      </c>
      <c r="D155" s="12">
        <v>25</v>
      </c>
      <c r="E155" s="22">
        <f t="shared" si="8"/>
        <v>3.4607124296759264E-9</v>
      </c>
      <c r="F155" s="129">
        <f t="shared" si="9"/>
        <v>3.7223127564886245E-24</v>
      </c>
      <c r="G155" s="22">
        <v>3.4607124296759301E-9</v>
      </c>
      <c r="H155" s="21">
        <f t="shared" si="10"/>
        <v>34.200000000000003</v>
      </c>
      <c r="I155" s="21">
        <v>34.200000000000003</v>
      </c>
      <c r="J155" s="23" t="s">
        <v>24</v>
      </c>
      <c r="K155" s="23" t="s">
        <v>24</v>
      </c>
      <c r="L155" s="22">
        <v>4.398046511E-8</v>
      </c>
      <c r="M155" s="134">
        <f t="shared" si="11"/>
        <v>4.3980465111039971E-8</v>
      </c>
      <c r="N155" s="231">
        <f t="shared" si="12"/>
        <v>-1.0399711707710689E-18</v>
      </c>
    </row>
    <row r="156" spans="2:14" x14ac:dyDescent="0.45">
      <c r="B156" s="12">
        <v>4</v>
      </c>
      <c r="C156" s="111">
        <v>2</v>
      </c>
      <c r="D156" s="12">
        <v>24</v>
      </c>
      <c r="E156" s="22">
        <f t="shared" si="8"/>
        <v>4.3258905370949076E-8</v>
      </c>
      <c r="F156" s="129">
        <f t="shared" si="9"/>
        <v>0</v>
      </c>
      <c r="G156" s="22">
        <v>4.3258905370949103E-8</v>
      </c>
      <c r="H156" s="21">
        <f t="shared" si="10"/>
        <v>29.6</v>
      </c>
      <c r="I156" s="21">
        <v>29.6</v>
      </c>
      <c r="J156" s="23" t="s">
        <v>24</v>
      </c>
      <c r="K156" s="23" t="s">
        <v>24</v>
      </c>
      <c r="L156" s="22">
        <v>7.3220087288000004E-7</v>
      </c>
      <c r="M156" s="134">
        <f t="shared" si="11"/>
        <v>7.3220087287920309E-7</v>
      </c>
      <c r="N156" s="231">
        <f t="shared" si="12"/>
        <v>7.9695212424788983E-19</v>
      </c>
    </row>
    <row r="157" spans="2:14" x14ac:dyDescent="0.45">
      <c r="B157" s="12">
        <v>4</v>
      </c>
      <c r="C157" s="111">
        <v>3</v>
      </c>
      <c r="D157" s="12">
        <v>23</v>
      </c>
      <c r="E157" s="22">
        <f t="shared" si="8"/>
        <v>3.4607124296759256E-7</v>
      </c>
      <c r="F157" s="129">
        <f t="shared" si="9"/>
        <v>4.2351647362715017E-22</v>
      </c>
      <c r="G157" s="22">
        <v>3.4607124296759298E-7</v>
      </c>
      <c r="H157" s="21">
        <f t="shared" si="10"/>
        <v>25.4</v>
      </c>
      <c r="I157" s="21">
        <v>25.4</v>
      </c>
      <c r="J157" s="23" t="s">
        <v>24</v>
      </c>
      <c r="K157" s="23" t="s">
        <v>24</v>
      </c>
      <c r="L157" s="22">
        <v>6.9287683555299997E-6</v>
      </c>
      <c r="M157" s="134">
        <f t="shared" si="11"/>
        <v>6.9287683555263193E-6</v>
      </c>
      <c r="N157" s="231">
        <f t="shared" si="12"/>
        <v>3.680358155819935E-18</v>
      </c>
    </row>
    <row r="158" spans="2:14" x14ac:dyDescent="0.45">
      <c r="B158" s="12">
        <v>4</v>
      </c>
      <c r="C158" s="111">
        <v>4</v>
      </c>
      <c r="D158" s="12">
        <v>22</v>
      </c>
      <c r="E158" s="22">
        <f t="shared" si="8"/>
        <v>1.9899096470636572E-6</v>
      </c>
      <c r="F158" s="129">
        <f t="shared" si="9"/>
        <v>0</v>
      </c>
      <c r="G158" s="22">
        <v>1.9899096470636602E-6</v>
      </c>
      <c r="H158" s="21">
        <f t="shared" si="10"/>
        <v>21.6</v>
      </c>
      <c r="I158" s="21">
        <v>21.6</v>
      </c>
      <c r="J158" s="23" t="s">
        <v>24</v>
      </c>
      <c r="K158" s="23" t="s">
        <v>24</v>
      </c>
      <c r="L158" s="22">
        <v>4.4691104839759998E-5</v>
      </c>
      <c r="M158" s="134">
        <f t="shared" si="11"/>
        <v>4.4691104839756799E-5</v>
      </c>
      <c r="N158" s="231">
        <f t="shared" si="12"/>
        <v>3.1983964088322381E-18</v>
      </c>
    </row>
    <row r="159" spans="2:14" x14ac:dyDescent="0.45">
      <c r="B159" s="12">
        <v>4</v>
      </c>
      <c r="C159" s="111">
        <v>5</v>
      </c>
      <c r="D159" s="12">
        <v>21</v>
      </c>
      <c r="E159" s="22">
        <f t="shared" si="8"/>
        <v>8.7556024470800918E-6</v>
      </c>
      <c r="F159" s="129">
        <f t="shared" si="9"/>
        <v>0</v>
      </c>
      <c r="G159" s="22">
        <v>8.7556024470801003E-6</v>
      </c>
      <c r="H159" s="21">
        <f t="shared" si="10"/>
        <v>18.2</v>
      </c>
      <c r="I159" s="21">
        <v>18.2</v>
      </c>
      <c r="J159" s="23" t="s">
        <v>24</v>
      </c>
      <c r="K159" s="23" t="s">
        <v>24</v>
      </c>
      <c r="L159" s="22">
        <v>2.1394632139263E-4</v>
      </c>
      <c r="M159" s="134">
        <f t="shared" si="11"/>
        <v>2.1394632139262723E-4</v>
      </c>
      <c r="N159" s="231">
        <f t="shared" si="12"/>
        <v>2.7647155398380363E-18</v>
      </c>
    </row>
    <row r="160" spans="2:14" x14ac:dyDescent="0.45">
      <c r="B160" s="12">
        <v>4</v>
      </c>
      <c r="C160" s="111">
        <v>6</v>
      </c>
      <c r="D160" s="12">
        <v>20</v>
      </c>
      <c r="E160" s="22">
        <f t="shared" si="8"/>
        <v>3.0644608564780322E-5</v>
      </c>
      <c r="F160" s="129">
        <f t="shared" si="9"/>
        <v>0</v>
      </c>
      <c r="G160" s="22">
        <v>3.0644608564780302E-5</v>
      </c>
      <c r="H160" s="21">
        <f t="shared" si="10"/>
        <v>15.2</v>
      </c>
      <c r="I160" s="21">
        <v>15.2</v>
      </c>
      <c r="J160" s="23" t="s">
        <v>24</v>
      </c>
      <c r="K160" s="23" t="s">
        <v>24</v>
      </c>
      <c r="L160" s="22">
        <v>7.9845899744124997E-4</v>
      </c>
      <c r="M160" s="134">
        <f t="shared" si="11"/>
        <v>7.9845899744125366E-4</v>
      </c>
      <c r="N160" s="231">
        <f t="shared" si="12"/>
        <v>-3.6862873864507151E-18</v>
      </c>
    </row>
    <row r="161" spans="2:14" x14ac:dyDescent="0.45">
      <c r="B161" s="12">
        <v>4</v>
      </c>
      <c r="C161" s="111">
        <v>7</v>
      </c>
      <c r="D161" s="12">
        <v>19</v>
      </c>
      <c r="E161" s="22">
        <f t="shared" si="8"/>
        <v>8.7556024470800928E-5</v>
      </c>
      <c r="F161" s="129">
        <f t="shared" si="9"/>
        <v>0</v>
      </c>
      <c r="G161" s="22">
        <v>8.7556024470800996E-5</v>
      </c>
      <c r="H161" s="21">
        <f t="shared" si="10"/>
        <v>12.6</v>
      </c>
      <c r="I161" s="21">
        <v>12.6</v>
      </c>
      <c r="J161" s="23" t="s">
        <v>24</v>
      </c>
      <c r="K161" s="23" t="s">
        <v>24</v>
      </c>
      <c r="L161" s="22">
        <v>2.3974818965432801E-3</v>
      </c>
      <c r="M161" s="134">
        <f t="shared" si="11"/>
        <v>2.3974818965432779E-3</v>
      </c>
      <c r="N161" s="231">
        <f t="shared" si="12"/>
        <v>0</v>
      </c>
    </row>
    <row r="162" spans="2:14" x14ac:dyDescent="0.45">
      <c r="B162" s="12">
        <v>4</v>
      </c>
      <c r="C162" s="111">
        <v>8</v>
      </c>
      <c r="D162" s="12">
        <v>18</v>
      </c>
      <c r="E162" s="22">
        <f t="shared" si="8"/>
        <v>2.0794555811815219E-4</v>
      </c>
      <c r="F162" s="129">
        <f t="shared" si="9"/>
        <v>0</v>
      </c>
      <c r="G162" s="22">
        <v>2.07945558118152E-4</v>
      </c>
      <c r="H162" s="21">
        <f t="shared" si="10"/>
        <v>10.4</v>
      </c>
      <c r="I162" s="21">
        <v>10.4</v>
      </c>
      <c r="J162" s="23" t="s">
        <v>24</v>
      </c>
      <c r="K162" s="23" t="s">
        <v>24</v>
      </c>
      <c r="L162" s="22">
        <v>5.9174561298786302E-3</v>
      </c>
      <c r="M162" s="134">
        <f t="shared" si="11"/>
        <v>5.9174561298786198E-3</v>
      </c>
      <c r="N162" s="231">
        <f t="shared" si="12"/>
        <v>1.0408340855860843E-17</v>
      </c>
    </row>
    <row r="163" spans="2:14" x14ac:dyDescent="0.45">
      <c r="B163" s="12">
        <v>4</v>
      </c>
      <c r="C163" s="111">
        <v>9</v>
      </c>
      <c r="D163" s="12">
        <v>17</v>
      </c>
      <c r="E163" s="22">
        <f t="shared" si="8"/>
        <v>4.1589111623630437E-4</v>
      </c>
      <c r="F163" s="129">
        <f t="shared" si="9"/>
        <v>6.5052130349130266E-19</v>
      </c>
      <c r="G163" s="22">
        <v>4.1589111623630502E-4</v>
      </c>
      <c r="H163" s="21">
        <f t="shared" si="10"/>
        <v>8.6</v>
      </c>
      <c r="I163" s="21">
        <v>8.6</v>
      </c>
      <c r="J163" s="23" t="s">
        <v>24</v>
      </c>
      <c r="K163" s="23" t="s">
        <v>24</v>
      </c>
      <c r="L163" s="22">
        <v>1.21883743994015E-2</v>
      </c>
      <c r="M163" s="134">
        <f t="shared" si="11"/>
        <v>1.2188374399401567E-2</v>
      </c>
      <c r="N163" s="231">
        <f t="shared" si="12"/>
        <v>-6.7654215563095477E-17</v>
      </c>
    </row>
    <row r="164" spans="2:14" x14ac:dyDescent="0.45">
      <c r="B164" s="12">
        <v>4</v>
      </c>
      <c r="C164" s="111">
        <v>10</v>
      </c>
      <c r="D164" s="12">
        <v>16</v>
      </c>
      <c r="E164" s="22">
        <f t="shared" si="8"/>
        <v>7.0701489760171751E-4</v>
      </c>
      <c r="F164" s="129">
        <f t="shared" si="9"/>
        <v>0</v>
      </c>
      <c r="G164" s="22">
        <v>7.0701489760171795E-4</v>
      </c>
      <c r="H164" s="21">
        <f t="shared" si="10"/>
        <v>7.2</v>
      </c>
      <c r="I164" s="21">
        <v>7.2</v>
      </c>
      <c r="J164" s="23" t="s">
        <v>24</v>
      </c>
      <c r="K164" s="23" t="s">
        <v>24</v>
      </c>
      <c r="L164" s="22">
        <v>2.1175823681357502E-2</v>
      </c>
      <c r="M164" s="134">
        <f t="shared" si="11"/>
        <v>2.1175823681357463E-2</v>
      </c>
      <c r="N164" s="231">
        <f t="shared" si="12"/>
        <v>3.8163916471489756E-17</v>
      </c>
    </row>
    <row r="165" spans="2:14" x14ac:dyDescent="0.45">
      <c r="B165" s="12">
        <v>4</v>
      </c>
      <c r="C165" s="111">
        <v>11</v>
      </c>
      <c r="D165" s="12">
        <v>15</v>
      </c>
      <c r="E165" s="22">
        <f t="shared" ref="E165:E228" si="13">$E$36*FACT(30)/(FACT(B165)*FACT(C165)*FACT(D165))</f>
        <v>1.0283853056024981E-3</v>
      </c>
      <c r="F165" s="129">
        <f t="shared" ref="F165:F228" si="14">G165-E165</f>
        <v>1.951563910473908E-18</v>
      </c>
      <c r="G165" s="22">
        <v>1.0283853056025001E-3</v>
      </c>
      <c r="H165" s="21">
        <f t="shared" ref="H165:H228" si="15">(((B165-10))^2+((C165-10))^2+((D165-10))^2)/10</f>
        <v>6.2</v>
      </c>
      <c r="I165" s="21">
        <v>6.2</v>
      </c>
      <c r="J165" s="23" t="s">
        <v>24</v>
      </c>
      <c r="K165" s="23" t="s">
        <v>24</v>
      </c>
      <c r="L165" s="22">
        <v>3.1265948781756099E-2</v>
      </c>
      <c r="M165" s="134">
        <f t="shared" ref="M165:M228" si="16">1/(((B165/10)^B165)*((C165/10)^C165)*((D165/10)^D165))</f>
        <v>3.1265948781756113E-2</v>
      </c>
      <c r="N165" s="231">
        <f t="shared" ref="N165:N228" si="17">L165-M165</f>
        <v>0</v>
      </c>
    </row>
    <row r="166" spans="2:14" x14ac:dyDescent="0.45">
      <c r="B166" s="12">
        <v>4</v>
      </c>
      <c r="C166" s="111">
        <v>12</v>
      </c>
      <c r="D166" s="12">
        <v>14</v>
      </c>
      <c r="E166" s="22">
        <f t="shared" si="13"/>
        <v>1.2854816320031226E-3</v>
      </c>
      <c r="F166" s="129">
        <f t="shared" si="14"/>
        <v>-2.6020852139652106E-18</v>
      </c>
      <c r="G166" s="22">
        <v>1.28548163200312E-3</v>
      </c>
      <c r="H166" s="21">
        <f t="shared" si="15"/>
        <v>5.6</v>
      </c>
      <c r="I166" s="21">
        <v>5.6</v>
      </c>
      <c r="J166" s="23" t="s">
        <v>24</v>
      </c>
      <c r="K166" s="23" t="s">
        <v>24</v>
      </c>
      <c r="L166" s="22">
        <v>3.9426895576119399E-2</v>
      </c>
      <c r="M166" s="134">
        <f t="shared" si="16"/>
        <v>3.9426895576119503E-2</v>
      </c>
      <c r="N166" s="231">
        <f t="shared" si="17"/>
        <v>-1.0408340855860843E-16</v>
      </c>
    </row>
    <row r="167" spans="2:14" x14ac:dyDescent="0.45">
      <c r="B167" s="12">
        <v>4</v>
      </c>
      <c r="C167" s="111">
        <v>13</v>
      </c>
      <c r="D167" s="12">
        <v>13</v>
      </c>
      <c r="E167" s="22">
        <f t="shared" si="13"/>
        <v>1.3843648344649014E-3</v>
      </c>
      <c r="F167" s="129">
        <f t="shared" si="14"/>
        <v>0</v>
      </c>
      <c r="G167" s="22">
        <v>1.3843648344649001E-3</v>
      </c>
      <c r="H167" s="21">
        <f t="shared" si="15"/>
        <v>5.4</v>
      </c>
      <c r="I167" s="21">
        <v>5.4</v>
      </c>
      <c r="J167" s="23" t="s">
        <v>24</v>
      </c>
      <c r="K167" s="23" t="s">
        <v>24</v>
      </c>
      <c r="L167" s="22">
        <v>4.2582668608782702E-2</v>
      </c>
      <c r="M167" s="134">
        <f t="shared" si="16"/>
        <v>4.2582668608782653E-2</v>
      </c>
      <c r="N167" s="231">
        <f t="shared" si="17"/>
        <v>0</v>
      </c>
    </row>
    <row r="168" spans="2:14" x14ac:dyDescent="0.45">
      <c r="B168" s="12">
        <v>4</v>
      </c>
      <c r="C168" s="111">
        <v>14</v>
      </c>
      <c r="D168" s="12">
        <v>12</v>
      </c>
      <c r="E168" s="22">
        <f t="shared" si="13"/>
        <v>1.2854816320031226E-3</v>
      </c>
      <c r="F168" s="129">
        <f t="shared" si="14"/>
        <v>-2.6020852139652106E-18</v>
      </c>
      <c r="G168" s="22">
        <v>1.28548163200312E-3</v>
      </c>
      <c r="H168" s="21">
        <f t="shared" si="15"/>
        <v>5.6</v>
      </c>
      <c r="I168" s="21">
        <v>5.6</v>
      </c>
      <c r="J168" s="23" t="s">
        <v>24</v>
      </c>
      <c r="K168" s="23" t="s">
        <v>24</v>
      </c>
      <c r="L168" s="22">
        <v>3.9426895576119399E-2</v>
      </c>
      <c r="M168" s="134">
        <f t="shared" si="16"/>
        <v>3.942689557611951E-2</v>
      </c>
      <c r="N168" s="231">
        <f t="shared" si="17"/>
        <v>-1.1102230246251565E-16</v>
      </c>
    </row>
    <row r="169" spans="2:14" x14ac:dyDescent="0.45">
      <c r="B169" s="12">
        <v>4</v>
      </c>
      <c r="C169" s="111">
        <v>15</v>
      </c>
      <c r="D169" s="12">
        <v>11</v>
      </c>
      <c r="E169" s="22">
        <f t="shared" si="13"/>
        <v>1.0283853056024981E-3</v>
      </c>
      <c r="F169" s="129">
        <f t="shared" si="14"/>
        <v>1.951563910473908E-18</v>
      </c>
      <c r="G169" s="22">
        <v>1.0283853056025001E-3</v>
      </c>
      <c r="H169" s="21">
        <f t="shared" si="15"/>
        <v>6.2</v>
      </c>
      <c r="I169" s="21">
        <v>6.2</v>
      </c>
      <c r="J169" s="23" t="s">
        <v>24</v>
      </c>
      <c r="K169" s="23" t="s">
        <v>24</v>
      </c>
      <c r="L169" s="22">
        <v>3.1265948781756099E-2</v>
      </c>
      <c r="M169" s="134">
        <f t="shared" si="16"/>
        <v>3.126594878175612E-2</v>
      </c>
      <c r="N169" s="231">
        <f t="shared" si="17"/>
        <v>0</v>
      </c>
    </row>
    <row r="170" spans="2:14" x14ac:dyDescent="0.45">
      <c r="B170" s="12">
        <v>4</v>
      </c>
      <c r="C170" s="111">
        <v>16</v>
      </c>
      <c r="D170" s="12">
        <v>10</v>
      </c>
      <c r="E170" s="22">
        <f t="shared" si="13"/>
        <v>7.0701489760171751E-4</v>
      </c>
      <c r="F170" s="129">
        <f t="shared" si="14"/>
        <v>0</v>
      </c>
      <c r="G170" s="22">
        <v>7.0701489760171795E-4</v>
      </c>
      <c r="H170" s="21">
        <f t="shared" si="15"/>
        <v>7.2</v>
      </c>
      <c r="I170" s="21">
        <v>7.2</v>
      </c>
      <c r="J170" s="23" t="s">
        <v>24</v>
      </c>
      <c r="K170" s="23" t="s">
        <v>24</v>
      </c>
      <c r="L170" s="22">
        <v>2.1175823681357502E-2</v>
      </c>
      <c r="M170" s="134">
        <f t="shared" si="16"/>
        <v>2.1175823681357463E-2</v>
      </c>
      <c r="N170" s="231">
        <f t="shared" si="17"/>
        <v>3.8163916471489756E-17</v>
      </c>
    </row>
    <row r="171" spans="2:14" x14ac:dyDescent="0.45">
      <c r="B171" s="12">
        <v>4</v>
      </c>
      <c r="C171" s="111">
        <v>17</v>
      </c>
      <c r="D171" s="12">
        <v>9</v>
      </c>
      <c r="E171" s="22">
        <f t="shared" si="13"/>
        <v>4.1589111623630437E-4</v>
      </c>
      <c r="F171" s="129">
        <f t="shared" si="14"/>
        <v>6.5052130349130266E-19</v>
      </c>
      <c r="G171" s="22">
        <v>4.1589111623630502E-4</v>
      </c>
      <c r="H171" s="21">
        <f t="shared" si="15"/>
        <v>8.6</v>
      </c>
      <c r="I171" s="21">
        <v>8.6</v>
      </c>
      <c r="J171" s="23" t="s">
        <v>24</v>
      </c>
      <c r="K171" s="23" t="s">
        <v>24</v>
      </c>
      <c r="L171" s="22">
        <v>1.21883743994015E-2</v>
      </c>
      <c r="M171" s="134">
        <f t="shared" si="16"/>
        <v>1.2188374399401569E-2</v>
      </c>
      <c r="N171" s="231">
        <f t="shared" si="17"/>
        <v>-6.9388939039072284E-17</v>
      </c>
    </row>
    <row r="172" spans="2:14" x14ac:dyDescent="0.45">
      <c r="B172" s="12">
        <v>4</v>
      </c>
      <c r="C172" s="111">
        <v>18</v>
      </c>
      <c r="D172" s="12">
        <v>8</v>
      </c>
      <c r="E172" s="22">
        <f t="shared" si="13"/>
        <v>2.0794555811815219E-4</v>
      </c>
      <c r="F172" s="129">
        <f t="shared" si="14"/>
        <v>0</v>
      </c>
      <c r="G172" s="22">
        <v>2.07945558118152E-4</v>
      </c>
      <c r="H172" s="21">
        <f t="shared" si="15"/>
        <v>10.4</v>
      </c>
      <c r="I172" s="21">
        <v>10.4</v>
      </c>
      <c r="J172" s="23" t="s">
        <v>24</v>
      </c>
      <c r="K172" s="23" t="s">
        <v>24</v>
      </c>
      <c r="L172" s="22">
        <v>5.9174561298786302E-3</v>
      </c>
      <c r="M172" s="134">
        <f t="shared" si="16"/>
        <v>5.9174561298786198E-3</v>
      </c>
      <c r="N172" s="231">
        <f t="shared" si="17"/>
        <v>1.0408340855860843E-17</v>
      </c>
    </row>
    <row r="173" spans="2:14" x14ac:dyDescent="0.45">
      <c r="B173" s="12">
        <v>4</v>
      </c>
      <c r="C173" s="111">
        <v>19</v>
      </c>
      <c r="D173" s="12">
        <v>7</v>
      </c>
      <c r="E173" s="22">
        <f t="shared" si="13"/>
        <v>8.7556024470800928E-5</v>
      </c>
      <c r="F173" s="129">
        <f t="shared" si="14"/>
        <v>0</v>
      </c>
      <c r="G173" s="22">
        <v>8.7556024470800996E-5</v>
      </c>
      <c r="H173" s="21">
        <f t="shared" si="15"/>
        <v>12.6</v>
      </c>
      <c r="I173" s="21">
        <v>12.6</v>
      </c>
      <c r="J173" s="23" t="s">
        <v>24</v>
      </c>
      <c r="K173" s="23" t="s">
        <v>24</v>
      </c>
      <c r="L173" s="22">
        <v>2.3974818965432801E-3</v>
      </c>
      <c r="M173" s="134">
        <f t="shared" si="16"/>
        <v>2.3974818965432779E-3</v>
      </c>
      <c r="N173" s="231">
        <f t="shared" si="17"/>
        <v>0</v>
      </c>
    </row>
    <row r="174" spans="2:14" x14ac:dyDescent="0.45">
      <c r="B174" s="12">
        <v>4</v>
      </c>
      <c r="C174" s="111">
        <v>20</v>
      </c>
      <c r="D174" s="12">
        <v>6</v>
      </c>
      <c r="E174" s="22">
        <f t="shared" si="13"/>
        <v>3.0644608564780322E-5</v>
      </c>
      <c r="F174" s="129">
        <f t="shared" si="14"/>
        <v>0</v>
      </c>
      <c r="G174" s="22">
        <v>3.0644608564780302E-5</v>
      </c>
      <c r="H174" s="21">
        <f t="shared" si="15"/>
        <v>15.2</v>
      </c>
      <c r="I174" s="21">
        <v>15.2</v>
      </c>
      <c r="J174" s="23" t="s">
        <v>24</v>
      </c>
      <c r="K174" s="23" t="s">
        <v>24</v>
      </c>
      <c r="L174" s="22">
        <v>7.9845899744124997E-4</v>
      </c>
      <c r="M174" s="134">
        <f t="shared" si="16"/>
        <v>7.9845899744125366E-4</v>
      </c>
      <c r="N174" s="231">
        <f t="shared" si="17"/>
        <v>-3.6862873864507151E-18</v>
      </c>
    </row>
    <row r="175" spans="2:14" x14ac:dyDescent="0.45">
      <c r="B175" s="12">
        <v>4</v>
      </c>
      <c r="C175" s="111">
        <v>21</v>
      </c>
      <c r="D175" s="12">
        <v>5</v>
      </c>
      <c r="E175" s="22">
        <f t="shared" si="13"/>
        <v>8.7556024470800918E-6</v>
      </c>
      <c r="F175" s="129">
        <f t="shared" si="14"/>
        <v>0</v>
      </c>
      <c r="G175" s="22">
        <v>8.7556024470801003E-6</v>
      </c>
      <c r="H175" s="21">
        <f t="shared" si="15"/>
        <v>18.2</v>
      </c>
      <c r="I175" s="21">
        <v>18.2</v>
      </c>
      <c r="J175" s="23" t="s">
        <v>24</v>
      </c>
      <c r="K175" s="23" t="s">
        <v>24</v>
      </c>
      <c r="L175" s="22">
        <v>2.1394632139263E-4</v>
      </c>
      <c r="M175" s="134">
        <f t="shared" si="16"/>
        <v>2.1394632139262723E-4</v>
      </c>
      <c r="N175" s="231">
        <f t="shared" si="17"/>
        <v>2.7647155398380363E-18</v>
      </c>
    </row>
    <row r="176" spans="2:14" x14ac:dyDescent="0.45">
      <c r="B176" s="12">
        <v>4</v>
      </c>
      <c r="C176" s="111">
        <v>22</v>
      </c>
      <c r="D176" s="12">
        <v>4</v>
      </c>
      <c r="E176" s="22">
        <f t="shared" si="13"/>
        <v>1.9899096470636572E-6</v>
      </c>
      <c r="F176" s="129">
        <f t="shared" si="14"/>
        <v>0</v>
      </c>
      <c r="G176" s="22">
        <v>1.9899096470636602E-6</v>
      </c>
      <c r="H176" s="21">
        <f t="shared" si="15"/>
        <v>21.6</v>
      </c>
      <c r="I176" s="21">
        <v>21.6</v>
      </c>
      <c r="J176" s="23" t="s">
        <v>24</v>
      </c>
      <c r="K176" s="23" t="s">
        <v>24</v>
      </c>
      <c r="L176" s="22">
        <v>4.4691104839759998E-5</v>
      </c>
      <c r="M176" s="134">
        <f t="shared" si="16"/>
        <v>4.4691104839756793E-5</v>
      </c>
      <c r="N176" s="231">
        <f t="shared" si="17"/>
        <v>3.2051726724102725E-18</v>
      </c>
    </row>
    <row r="177" spans="2:14" x14ac:dyDescent="0.45">
      <c r="B177" s="12">
        <v>4</v>
      </c>
      <c r="C177" s="111">
        <v>23</v>
      </c>
      <c r="D177" s="12">
        <v>3</v>
      </c>
      <c r="E177" s="22">
        <f t="shared" si="13"/>
        <v>3.4607124296759261E-7</v>
      </c>
      <c r="F177" s="129">
        <f t="shared" si="14"/>
        <v>0</v>
      </c>
      <c r="G177" s="22">
        <v>3.4607124296759298E-7</v>
      </c>
      <c r="H177" s="21">
        <f t="shared" si="15"/>
        <v>25.4</v>
      </c>
      <c r="I177" s="21">
        <v>25.4</v>
      </c>
      <c r="J177" s="23" t="s">
        <v>24</v>
      </c>
      <c r="K177" s="23" t="s">
        <v>24</v>
      </c>
      <c r="L177" s="22">
        <v>6.9287683555299997E-6</v>
      </c>
      <c r="M177" s="134">
        <f t="shared" si="16"/>
        <v>6.9287683555263193E-6</v>
      </c>
      <c r="N177" s="231">
        <f t="shared" si="17"/>
        <v>3.680358155819935E-18</v>
      </c>
    </row>
    <row r="178" spans="2:14" x14ac:dyDescent="0.45">
      <c r="B178" s="12">
        <v>4</v>
      </c>
      <c r="C178" s="111">
        <v>24</v>
      </c>
      <c r="D178" s="12">
        <v>2</v>
      </c>
      <c r="E178" s="22">
        <f t="shared" si="13"/>
        <v>4.3258905370949076E-8</v>
      </c>
      <c r="F178" s="129">
        <f t="shared" si="14"/>
        <v>0</v>
      </c>
      <c r="G178" s="22">
        <v>4.3258905370949103E-8</v>
      </c>
      <c r="H178" s="21">
        <f t="shared" si="15"/>
        <v>29.6</v>
      </c>
      <c r="I178" s="21">
        <v>29.6</v>
      </c>
      <c r="J178" s="23" t="s">
        <v>24</v>
      </c>
      <c r="K178" s="23" t="s">
        <v>24</v>
      </c>
      <c r="L178" s="22">
        <v>7.3220087288000004E-7</v>
      </c>
      <c r="M178" s="134">
        <f t="shared" si="16"/>
        <v>7.3220087287920299E-7</v>
      </c>
      <c r="N178" s="231">
        <f t="shared" si="17"/>
        <v>7.9705800336629662E-19</v>
      </c>
    </row>
    <row r="179" spans="2:14" x14ac:dyDescent="0.45">
      <c r="B179" s="12">
        <v>4</v>
      </c>
      <c r="C179" s="111">
        <v>25</v>
      </c>
      <c r="D179" s="12">
        <v>1</v>
      </c>
      <c r="E179" s="22">
        <f t="shared" si="13"/>
        <v>3.4607124296759264E-9</v>
      </c>
      <c r="F179" s="129">
        <f t="shared" si="14"/>
        <v>3.7223127564886245E-24</v>
      </c>
      <c r="G179" s="22">
        <v>3.4607124296759301E-9</v>
      </c>
      <c r="H179" s="21">
        <f t="shared" si="15"/>
        <v>34.200000000000003</v>
      </c>
      <c r="I179" s="21">
        <v>34.200000000000003</v>
      </c>
      <c r="J179" s="23" t="s">
        <v>24</v>
      </c>
      <c r="K179" s="23" t="s">
        <v>24</v>
      </c>
      <c r="L179" s="22">
        <v>4.398046511E-8</v>
      </c>
      <c r="M179" s="134">
        <f t="shared" si="16"/>
        <v>4.3980465111039971E-8</v>
      </c>
      <c r="N179" s="231">
        <f t="shared" si="17"/>
        <v>-1.0399711707710689E-18</v>
      </c>
    </row>
    <row r="180" spans="2:14" x14ac:dyDescent="0.45">
      <c r="B180" s="12">
        <v>4</v>
      </c>
      <c r="C180" s="111">
        <v>26</v>
      </c>
      <c r="D180" s="195">
        <v>0</v>
      </c>
      <c r="E180" s="22">
        <f t="shared" si="13"/>
        <v>1.331043242183048E-10</v>
      </c>
      <c r="F180" s="129">
        <f t="shared" si="14"/>
        <v>2.0679515313825692E-25</v>
      </c>
      <c r="G180" s="22">
        <v>1.3310432421830501E-10</v>
      </c>
      <c r="H180" s="21">
        <f t="shared" si="15"/>
        <v>39.200000000000003</v>
      </c>
      <c r="I180" s="21">
        <v>39.200000000000003</v>
      </c>
      <c r="J180" s="23" t="s">
        <v>24</v>
      </c>
      <c r="K180" s="23" t="s">
        <v>24</v>
      </c>
      <c r="L180" s="22">
        <v>6.3453120999999999E-10</v>
      </c>
      <c r="M180" s="207">
        <f>1/(((B180/10)^B180)*((C180/10)^C180))</f>
        <v>6.3453120900366684E-10</v>
      </c>
      <c r="N180" s="231">
        <f t="shared" si="17"/>
        <v>9.9633315415825739E-19</v>
      </c>
    </row>
    <row r="181" spans="2:14" x14ac:dyDescent="0.45">
      <c r="B181" s="12">
        <v>5</v>
      </c>
      <c r="C181" s="195">
        <v>0</v>
      </c>
      <c r="D181" s="12">
        <v>25</v>
      </c>
      <c r="E181" s="22">
        <f t="shared" si="13"/>
        <v>6.9214248593518523E-10</v>
      </c>
      <c r="F181" s="129">
        <f t="shared" si="14"/>
        <v>0</v>
      </c>
      <c r="G181" s="22">
        <v>6.9214248593518502E-10</v>
      </c>
      <c r="H181" s="21">
        <f t="shared" si="15"/>
        <v>35</v>
      </c>
      <c r="I181" s="21">
        <v>35</v>
      </c>
      <c r="J181" s="23" t="s">
        <v>24</v>
      </c>
      <c r="K181" s="23" t="s">
        <v>24</v>
      </c>
      <c r="L181" s="22">
        <v>3.6028797000000002E-9</v>
      </c>
      <c r="M181" s="207">
        <f>1/(((B181/10)^B181)*((D181/10)^D181))</f>
        <v>3.6028797018963965E-9</v>
      </c>
      <c r="N181" s="231">
        <f t="shared" si="17"/>
        <v>-1.8963963402906026E-18</v>
      </c>
    </row>
    <row r="182" spans="2:14" x14ac:dyDescent="0.45">
      <c r="B182" s="12">
        <v>5</v>
      </c>
      <c r="C182" s="111">
        <v>1</v>
      </c>
      <c r="D182" s="12">
        <v>24</v>
      </c>
      <c r="E182" s="22">
        <f t="shared" si="13"/>
        <v>1.7303562148379628E-8</v>
      </c>
      <c r="F182" s="129">
        <f t="shared" si="14"/>
        <v>-2.9778502051908996E-23</v>
      </c>
      <c r="G182" s="22">
        <v>1.7303562148379599E-8</v>
      </c>
      <c r="H182" s="21">
        <f t="shared" si="15"/>
        <v>30.2</v>
      </c>
      <c r="I182" s="21">
        <v>30.2</v>
      </c>
      <c r="J182" s="23" t="s">
        <v>24</v>
      </c>
      <c r="K182" s="23" t="s">
        <v>24</v>
      </c>
      <c r="L182" s="22">
        <v>2.3992758203000002E-7</v>
      </c>
      <c r="M182" s="134">
        <f t="shared" si="16"/>
        <v>2.3992758202505737E-7</v>
      </c>
      <c r="N182" s="231">
        <f t="shared" si="17"/>
        <v>4.9426490054656561E-18</v>
      </c>
    </row>
    <row r="183" spans="2:14" x14ac:dyDescent="0.45">
      <c r="B183" s="12">
        <v>5</v>
      </c>
      <c r="C183" s="111">
        <v>2</v>
      </c>
      <c r="D183" s="12">
        <v>23</v>
      </c>
      <c r="E183" s="22">
        <f t="shared" si="13"/>
        <v>2.0764274578055555E-7</v>
      </c>
      <c r="F183" s="129">
        <f t="shared" si="14"/>
        <v>4.4998625322884706E-22</v>
      </c>
      <c r="G183" s="22">
        <v>2.07642745780556E-7</v>
      </c>
      <c r="H183" s="21">
        <f t="shared" si="15"/>
        <v>25.8</v>
      </c>
      <c r="I183" s="21">
        <v>25.8</v>
      </c>
      <c r="J183" s="23" t="s">
        <v>24</v>
      </c>
      <c r="K183" s="23" t="s">
        <v>24</v>
      </c>
      <c r="L183" s="22">
        <v>3.8313317498700002E-6</v>
      </c>
      <c r="M183" s="134">
        <f t="shared" si="16"/>
        <v>3.8313317498718348E-6</v>
      </c>
      <c r="N183" s="231">
        <f t="shared" si="17"/>
        <v>-1.8346733637528145E-18</v>
      </c>
    </row>
    <row r="184" spans="2:14" x14ac:dyDescent="0.45">
      <c r="B184" s="12">
        <v>5</v>
      </c>
      <c r="C184" s="111">
        <v>3</v>
      </c>
      <c r="D184" s="12">
        <v>22</v>
      </c>
      <c r="E184" s="22">
        <f t="shared" si="13"/>
        <v>1.591927717650926E-6</v>
      </c>
      <c r="F184" s="129">
        <f t="shared" si="14"/>
        <v>4.0234064994579266E-21</v>
      </c>
      <c r="G184" s="22">
        <v>1.59192771765093E-6</v>
      </c>
      <c r="H184" s="21">
        <f t="shared" si="15"/>
        <v>21.8</v>
      </c>
      <c r="I184" s="21">
        <v>21.8</v>
      </c>
      <c r="J184" s="23" t="s">
        <v>24</v>
      </c>
      <c r="K184" s="23" t="s">
        <v>24</v>
      </c>
      <c r="L184" s="22">
        <v>3.4712607369219998E-5</v>
      </c>
      <c r="M184" s="134">
        <f t="shared" si="16"/>
        <v>3.4712607369224341E-5</v>
      </c>
      <c r="N184" s="231">
        <f t="shared" si="17"/>
        <v>-4.3435849535200521E-18</v>
      </c>
    </row>
    <row r="185" spans="2:14" x14ac:dyDescent="0.45">
      <c r="B185" s="12">
        <v>5</v>
      </c>
      <c r="C185" s="111">
        <v>4</v>
      </c>
      <c r="D185" s="12">
        <v>21</v>
      </c>
      <c r="E185" s="22">
        <f t="shared" si="13"/>
        <v>8.7556024470800918E-6</v>
      </c>
      <c r="F185" s="129">
        <f t="shared" si="14"/>
        <v>0</v>
      </c>
      <c r="G185" s="22">
        <v>8.7556024470801003E-6</v>
      </c>
      <c r="H185" s="21">
        <f t="shared" si="15"/>
        <v>18.2</v>
      </c>
      <c r="I185" s="21">
        <v>18.2</v>
      </c>
      <c r="J185" s="23" t="s">
        <v>24</v>
      </c>
      <c r="K185" s="23" t="s">
        <v>24</v>
      </c>
      <c r="L185" s="22">
        <v>2.1394632139263E-4</v>
      </c>
      <c r="M185" s="134">
        <f t="shared" si="16"/>
        <v>2.1394632139262723E-4</v>
      </c>
      <c r="N185" s="231">
        <f t="shared" si="17"/>
        <v>2.7647155398380363E-18</v>
      </c>
    </row>
    <row r="186" spans="2:14" x14ac:dyDescent="0.45">
      <c r="B186" s="12">
        <v>5</v>
      </c>
      <c r="C186" s="111">
        <v>5</v>
      </c>
      <c r="D186" s="12">
        <v>20</v>
      </c>
      <c r="E186" s="22">
        <f t="shared" si="13"/>
        <v>3.6773530277736389E-5</v>
      </c>
      <c r="F186" s="129">
        <f t="shared" si="14"/>
        <v>0</v>
      </c>
      <c r="G186" s="22">
        <v>3.6773530277736403E-5</v>
      </c>
      <c r="H186" s="21">
        <f t="shared" si="15"/>
        <v>15</v>
      </c>
      <c r="I186" s="21">
        <v>15</v>
      </c>
      <c r="J186" s="23" t="s">
        <v>24</v>
      </c>
      <c r="K186" s="23" t="s">
        <v>24</v>
      </c>
      <c r="L186" s="22">
        <v>9.765625E-4</v>
      </c>
      <c r="M186" s="134">
        <f t="shared" si="16"/>
        <v>9.765625E-4</v>
      </c>
      <c r="N186" s="231">
        <f t="shared" si="17"/>
        <v>0</v>
      </c>
    </row>
    <row r="187" spans="2:14" x14ac:dyDescent="0.45">
      <c r="B187" s="12">
        <v>5</v>
      </c>
      <c r="C187" s="111">
        <v>6</v>
      </c>
      <c r="D187" s="12">
        <v>19</v>
      </c>
      <c r="E187" s="22">
        <f t="shared" si="13"/>
        <v>1.2257843425912129E-4</v>
      </c>
      <c r="F187" s="129">
        <f t="shared" si="14"/>
        <v>-2.9815559743351372E-19</v>
      </c>
      <c r="G187" s="22">
        <v>1.2257843425912099E-4</v>
      </c>
      <c r="H187" s="21">
        <f t="shared" si="15"/>
        <v>12.2</v>
      </c>
      <c r="I187" s="21">
        <v>12.2</v>
      </c>
      <c r="J187" s="23" t="s">
        <v>24</v>
      </c>
      <c r="K187" s="23" t="s">
        <v>24</v>
      </c>
      <c r="L187" s="22">
        <v>3.4667622426775399E-3</v>
      </c>
      <c r="M187" s="134">
        <f t="shared" si="16"/>
        <v>3.4667622426775365E-3</v>
      </c>
      <c r="N187" s="231">
        <f t="shared" si="17"/>
        <v>3.4694469519536142E-18</v>
      </c>
    </row>
    <row r="188" spans="2:14" x14ac:dyDescent="0.45">
      <c r="B188" s="12">
        <v>5</v>
      </c>
      <c r="C188" s="111">
        <v>7</v>
      </c>
      <c r="D188" s="12">
        <v>18</v>
      </c>
      <c r="E188" s="22">
        <f t="shared" si="13"/>
        <v>3.3271289298904353E-4</v>
      </c>
      <c r="F188" s="129">
        <f t="shared" si="14"/>
        <v>4.87890977618477E-19</v>
      </c>
      <c r="G188" s="22">
        <v>3.3271289298904402E-4</v>
      </c>
      <c r="H188" s="21">
        <f t="shared" si="15"/>
        <v>9.8000000000000007</v>
      </c>
      <c r="I188" s="21">
        <v>9.8000000000000007</v>
      </c>
      <c r="J188" s="23" t="s">
        <v>24</v>
      </c>
      <c r="K188" s="23" t="s">
        <v>24</v>
      </c>
      <c r="L188" s="22">
        <v>9.8754889265890294E-3</v>
      </c>
      <c r="M188" s="134">
        <f t="shared" si="16"/>
        <v>9.8754889265890242E-3</v>
      </c>
      <c r="N188" s="231">
        <f t="shared" si="17"/>
        <v>0</v>
      </c>
    </row>
    <row r="189" spans="2:14" x14ac:dyDescent="0.45">
      <c r="B189" s="12">
        <v>5</v>
      </c>
      <c r="C189" s="111">
        <v>8</v>
      </c>
      <c r="D189" s="12">
        <v>17</v>
      </c>
      <c r="E189" s="22">
        <f t="shared" si="13"/>
        <v>7.4860400922534785E-4</v>
      </c>
      <c r="F189" s="129">
        <f t="shared" si="14"/>
        <v>0</v>
      </c>
      <c r="G189" s="22">
        <v>7.4860400922534796E-4</v>
      </c>
      <c r="H189" s="21">
        <f t="shared" si="15"/>
        <v>7.8</v>
      </c>
      <c r="I189" s="21">
        <v>7.8</v>
      </c>
      <c r="J189" s="23" t="s">
        <v>24</v>
      </c>
      <c r="K189" s="23" t="s">
        <v>24</v>
      </c>
      <c r="L189" s="22">
        <v>2.30567674313048E-2</v>
      </c>
      <c r="M189" s="134">
        <f t="shared" si="16"/>
        <v>2.3056767431304866E-2</v>
      </c>
      <c r="N189" s="231">
        <f t="shared" si="17"/>
        <v>-6.591949208711867E-17</v>
      </c>
    </row>
    <row r="190" spans="2:14" x14ac:dyDescent="0.45">
      <c r="B190" s="12">
        <v>5</v>
      </c>
      <c r="C190" s="111">
        <v>9</v>
      </c>
      <c r="D190" s="12">
        <v>16</v>
      </c>
      <c r="E190" s="22">
        <f t="shared" si="13"/>
        <v>1.414029795203435E-3</v>
      </c>
      <c r="F190" s="129">
        <f t="shared" si="14"/>
        <v>4.9873299934333204E-18</v>
      </c>
      <c r="G190" s="22">
        <v>1.41402979520344E-3</v>
      </c>
      <c r="H190" s="21">
        <f t="shared" si="15"/>
        <v>6.2</v>
      </c>
      <c r="I190" s="21">
        <v>6.2</v>
      </c>
      <c r="J190" s="23" t="s">
        <v>24</v>
      </c>
      <c r="K190" s="23" t="s">
        <v>24</v>
      </c>
      <c r="L190" s="22">
        <v>4.4776245067844202E-2</v>
      </c>
      <c r="M190" s="134">
        <f t="shared" si="16"/>
        <v>4.4776245067844195E-2</v>
      </c>
      <c r="N190" s="231">
        <f t="shared" si="17"/>
        <v>0</v>
      </c>
    </row>
    <row r="191" spans="2:14" x14ac:dyDescent="0.45">
      <c r="B191" s="12">
        <v>5</v>
      </c>
      <c r="C191" s="111">
        <v>10</v>
      </c>
      <c r="D191" s="12">
        <v>15</v>
      </c>
      <c r="E191" s="22">
        <f t="shared" si="13"/>
        <v>2.262447672325496E-3</v>
      </c>
      <c r="F191" s="129">
        <f t="shared" si="14"/>
        <v>3.903127820947816E-18</v>
      </c>
      <c r="G191" s="22">
        <v>2.2624476723254999E-3</v>
      </c>
      <c r="H191" s="21">
        <f t="shared" si="15"/>
        <v>5</v>
      </c>
      <c r="I191" s="21">
        <v>5</v>
      </c>
      <c r="J191" s="23" t="s">
        <v>24</v>
      </c>
      <c r="K191" s="23" t="s">
        <v>24</v>
      </c>
      <c r="L191" s="22">
        <v>7.3077064336677294E-2</v>
      </c>
      <c r="M191" s="134">
        <f t="shared" si="16"/>
        <v>7.307706433667735E-2</v>
      </c>
      <c r="N191" s="231">
        <f t="shared" si="17"/>
        <v>0</v>
      </c>
    </row>
    <row r="192" spans="2:14" x14ac:dyDescent="0.45">
      <c r="B192" s="12">
        <v>5</v>
      </c>
      <c r="C192" s="111">
        <v>11</v>
      </c>
      <c r="D192" s="12">
        <v>14</v>
      </c>
      <c r="E192" s="22">
        <f t="shared" si="13"/>
        <v>3.0851559168074945E-3</v>
      </c>
      <c r="F192" s="129">
        <f t="shared" si="14"/>
        <v>5.6378512969246231E-18</v>
      </c>
      <c r="G192" s="22">
        <v>3.0851559168075002E-3</v>
      </c>
      <c r="H192" s="21">
        <f t="shared" si="15"/>
        <v>4.2</v>
      </c>
      <c r="I192" s="21">
        <v>4.2</v>
      </c>
      <c r="J192" s="23" t="s">
        <v>24</v>
      </c>
      <c r="K192" s="23" t="s">
        <v>24</v>
      </c>
      <c r="L192" s="22">
        <v>0.100934106318291</v>
      </c>
      <c r="M192" s="134">
        <f t="shared" si="16"/>
        <v>0.10093410631829174</v>
      </c>
      <c r="N192" s="231">
        <f t="shared" si="17"/>
        <v>-7.3552275381416621E-16</v>
      </c>
    </row>
    <row r="193" spans="2:14" x14ac:dyDescent="0.45">
      <c r="B193" s="12">
        <v>5</v>
      </c>
      <c r="C193" s="111">
        <v>12</v>
      </c>
      <c r="D193" s="12">
        <v>13</v>
      </c>
      <c r="E193" s="22">
        <f t="shared" si="13"/>
        <v>3.5993485696087435E-3</v>
      </c>
      <c r="F193" s="129">
        <f t="shared" si="14"/>
        <v>-3.4694469519536142E-18</v>
      </c>
      <c r="G193" s="22">
        <v>3.59934856960874E-3</v>
      </c>
      <c r="H193" s="21">
        <f t="shared" si="15"/>
        <v>3.8</v>
      </c>
      <c r="I193" s="21">
        <v>3.8</v>
      </c>
      <c r="J193" s="23" t="s">
        <v>24</v>
      </c>
      <c r="K193" s="23" t="s">
        <v>24</v>
      </c>
      <c r="L193" s="22">
        <v>0.118498116054793</v>
      </c>
      <c r="M193" s="134">
        <f t="shared" si="16"/>
        <v>0.11849811605479371</v>
      </c>
      <c r="N193" s="231">
        <f t="shared" si="17"/>
        <v>-7.0776717819853729E-16</v>
      </c>
    </row>
    <row r="194" spans="2:14" x14ac:dyDescent="0.45">
      <c r="B194" s="12">
        <v>5</v>
      </c>
      <c r="C194" s="111">
        <v>13</v>
      </c>
      <c r="D194" s="12">
        <v>12</v>
      </c>
      <c r="E194" s="22">
        <f t="shared" si="13"/>
        <v>3.5993485696087435E-3</v>
      </c>
      <c r="F194" s="129">
        <f t="shared" si="14"/>
        <v>-3.4694469519536142E-18</v>
      </c>
      <c r="G194" s="22">
        <v>3.59934856960874E-3</v>
      </c>
      <c r="H194" s="21">
        <f t="shared" si="15"/>
        <v>3.8</v>
      </c>
      <c r="I194" s="21">
        <v>3.8</v>
      </c>
      <c r="J194" s="23" t="s">
        <v>24</v>
      </c>
      <c r="K194" s="23" t="s">
        <v>24</v>
      </c>
      <c r="L194" s="22">
        <v>0.118498116054793</v>
      </c>
      <c r="M194" s="134">
        <f t="shared" si="16"/>
        <v>0.11849811605479371</v>
      </c>
      <c r="N194" s="231">
        <f t="shared" si="17"/>
        <v>-7.0776717819853729E-16</v>
      </c>
    </row>
    <row r="195" spans="2:14" x14ac:dyDescent="0.45">
      <c r="B195" s="12">
        <v>5</v>
      </c>
      <c r="C195" s="111">
        <v>14</v>
      </c>
      <c r="D195" s="12">
        <v>11</v>
      </c>
      <c r="E195" s="22">
        <f t="shared" si="13"/>
        <v>3.0851559168074945E-3</v>
      </c>
      <c r="F195" s="129">
        <f t="shared" si="14"/>
        <v>5.6378512969246231E-18</v>
      </c>
      <c r="G195" s="22">
        <v>3.0851559168075002E-3</v>
      </c>
      <c r="H195" s="21">
        <f t="shared" si="15"/>
        <v>4.2</v>
      </c>
      <c r="I195" s="21">
        <v>4.2</v>
      </c>
      <c r="J195" s="23" t="s">
        <v>24</v>
      </c>
      <c r="K195" s="23" t="s">
        <v>24</v>
      </c>
      <c r="L195" s="22">
        <v>0.100934106318291</v>
      </c>
      <c r="M195" s="134">
        <f t="shared" si="16"/>
        <v>0.10093410631829174</v>
      </c>
      <c r="N195" s="231">
        <f t="shared" si="17"/>
        <v>-7.3552275381416621E-16</v>
      </c>
    </row>
    <row r="196" spans="2:14" x14ac:dyDescent="0.45">
      <c r="B196" s="12">
        <v>5</v>
      </c>
      <c r="C196" s="111">
        <v>15</v>
      </c>
      <c r="D196" s="12">
        <v>10</v>
      </c>
      <c r="E196" s="22">
        <f t="shared" si="13"/>
        <v>2.262447672325496E-3</v>
      </c>
      <c r="F196" s="129">
        <f t="shared" si="14"/>
        <v>3.903127820947816E-18</v>
      </c>
      <c r="G196" s="22">
        <v>2.2624476723254999E-3</v>
      </c>
      <c r="H196" s="21">
        <f t="shared" si="15"/>
        <v>5</v>
      </c>
      <c r="I196" s="21">
        <v>5</v>
      </c>
      <c r="J196" s="23" t="s">
        <v>24</v>
      </c>
      <c r="K196" s="23" t="s">
        <v>24</v>
      </c>
      <c r="L196" s="22">
        <v>7.3077064336677294E-2</v>
      </c>
      <c r="M196" s="134">
        <f t="shared" si="16"/>
        <v>7.307706433667735E-2</v>
      </c>
      <c r="N196" s="231">
        <f t="shared" si="17"/>
        <v>0</v>
      </c>
    </row>
    <row r="197" spans="2:14" x14ac:dyDescent="0.45">
      <c r="B197" s="12">
        <v>5</v>
      </c>
      <c r="C197" s="111">
        <v>16</v>
      </c>
      <c r="D197" s="12">
        <v>9</v>
      </c>
      <c r="E197" s="22">
        <f t="shared" si="13"/>
        <v>1.414029795203435E-3</v>
      </c>
      <c r="F197" s="129">
        <f t="shared" si="14"/>
        <v>4.9873299934333204E-18</v>
      </c>
      <c r="G197" s="22">
        <v>1.41402979520344E-3</v>
      </c>
      <c r="H197" s="21">
        <f t="shared" si="15"/>
        <v>6.2</v>
      </c>
      <c r="I197" s="21">
        <v>6.2</v>
      </c>
      <c r="J197" s="23" t="s">
        <v>24</v>
      </c>
      <c r="K197" s="23" t="s">
        <v>24</v>
      </c>
      <c r="L197" s="22">
        <v>4.4776245067844202E-2</v>
      </c>
      <c r="M197" s="134">
        <f t="shared" si="16"/>
        <v>4.4776245067844195E-2</v>
      </c>
      <c r="N197" s="231">
        <f t="shared" si="17"/>
        <v>0</v>
      </c>
    </row>
    <row r="198" spans="2:14" x14ac:dyDescent="0.45">
      <c r="B198" s="12">
        <v>5</v>
      </c>
      <c r="C198" s="111">
        <v>17</v>
      </c>
      <c r="D198" s="12">
        <v>8</v>
      </c>
      <c r="E198" s="22">
        <f t="shared" si="13"/>
        <v>7.4860400922534785E-4</v>
      </c>
      <c r="F198" s="129">
        <f t="shared" si="14"/>
        <v>0</v>
      </c>
      <c r="G198" s="22">
        <v>7.4860400922534796E-4</v>
      </c>
      <c r="H198" s="21">
        <f t="shared" si="15"/>
        <v>7.8</v>
      </c>
      <c r="I198" s="21">
        <v>7.8</v>
      </c>
      <c r="J198" s="23" t="s">
        <v>24</v>
      </c>
      <c r="K198" s="23" t="s">
        <v>24</v>
      </c>
      <c r="L198" s="22">
        <v>2.30567674313048E-2</v>
      </c>
      <c r="M198" s="134">
        <f t="shared" si="16"/>
        <v>2.3056767431304866E-2</v>
      </c>
      <c r="N198" s="231">
        <f t="shared" si="17"/>
        <v>-6.591949208711867E-17</v>
      </c>
    </row>
    <row r="199" spans="2:14" x14ac:dyDescent="0.45">
      <c r="B199" s="12">
        <v>5</v>
      </c>
      <c r="C199" s="111">
        <v>18</v>
      </c>
      <c r="D199" s="12">
        <v>7</v>
      </c>
      <c r="E199" s="22">
        <f t="shared" si="13"/>
        <v>3.3271289298904353E-4</v>
      </c>
      <c r="F199" s="129">
        <f t="shared" si="14"/>
        <v>4.87890977618477E-19</v>
      </c>
      <c r="G199" s="22">
        <v>3.3271289298904402E-4</v>
      </c>
      <c r="H199" s="21">
        <f t="shared" si="15"/>
        <v>9.8000000000000007</v>
      </c>
      <c r="I199" s="21">
        <v>9.8000000000000007</v>
      </c>
      <c r="J199" s="23" t="s">
        <v>24</v>
      </c>
      <c r="K199" s="23" t="s">
        <v>24</v>
      </c>
      <c r="L199" s="22">
        <v>9.8754889265890294E-3</v>
      </c>
      <c r="M199" s="134">
        <f t="shared" si="16"/>
        <v>9.8754889265890242E-3</v>
      </c>
      <c r="N199" s="231">
        <f t="shared" si="17"/>
        <v>0</v>
      </c>
    </row>
    <row r="200" spans="2:14" x14ac:dyDescent="0.45">
      <c r="B200" s="12">
        <v>5</v>
      </c>
      <c r="C200" s="111">
        <v>19</v>
      </c>
      <c r="D200" s="12">
        <v>6</v>
      </c>
      <c r="E200" s="22">
        <f t="shared" si="13"/>
        <v>1.2257843425912129E-4</v>
      </c>
      <c r="F200" s="129">
        <f t="shared" si="14"/>
        <v>-2.9815559743351372E-19</v>
      </c>
      <c r="G200" s="22">
        <v>1.2257843425912099E-4</v>
      </c>
      <c r="H200" s="21">
        <f t="shared" si="15"/>
        <v>12.2</v>
      </c>
      <c r="I200" s="21">
        <v>12.2</v>
      </c>
      <c r="J200" s="23" t="s">
        <v>24</v>
      </c>
      <c r="K200" s="23" t="s">
        <v>24</v>
      </c>
      <c r="L200" s="22">
        <v>3.4667622426775399E-3</v>
      </c>
      <c r="M200" s="134">
        <f t="shared" si="16"/>
        <v>3.4667622426775365E-3</v>
      </c>
      <c r="N200" s="231">
        <f t="shared" si="17"/>
        <v>3.4694469519536142E-18</v>
      </c>
    </row>
    <row r="201" spans="2:14" x14ac:dyDescent="0.45">
      <c r="B201" s="12">
        <v>5</v>
      </c>
      <c r="C201" s="111">
        <v>20</v>
      </c>
      <c r="D201" s="12">
        <v>5</v>
      </c>
      <c r="E201" s="22">
        <f t="shared" si="13"/>
        <v>3.6773530277736389E-5</v>
      </c>
      <c r="F201" s="129">
        <f t="shared" si="14"/>
        <v>0</v>
      </c>
      <c r="G201" s="22">
        <v>3.6773530277736403E-5</v>
      </c>
      <c r="H201" s="21">
        <f t="shared" si="15"/>
        <v>15</v>
      </c>
      <c r="I201" s="21">
        <v>15</v>
      </c>
      <c r="J201" s="23" t="s">
        <v>24</v>
      </c>
      <c r="K201" s="23" t="s">
        <v>24</v>
      </c>
      <c r="L201" s="22">
        <v>9.765625E-4</v>
      </c>
      <c r="M201" s="134">
        <f t="shared" si="16"/>
        <v>9.765625E-4</v>
      </c>
      <c r="N201" s="231">
        <f t="shared" si="17"/>
        <v>0</v>
      </c>
    </row>
    <row r="202" spans="2:14" x14ac:dyDescent="0.45">
      <c r="B202" s="12">
        <v>5</v>
      </c>
      <c r="C202" s="111">
        <v>21</v>
      </c>
      <c r="D202" s="12">
        <v>4</v>
      </c>
      <c r="E202" s="22">
        <f t="shared" si="13"/>
        <v>8.7556024470800918E-6</v>
      </c>
      <c r="F202" s="129">
        <f t="shared" si="14"/>
        <v>0</v>
      </c>
      <c r="G202" s="22">
        <v>8.7556024470801003E-6</v>
      </c>
      <c r="H202" s="21">
        <f t="shared" si="15"/>
        <v>18.2</v>
      </c>
      <c r="I202" s="21">
        <v>18.2</v>
      </c>
      <c r="J202" s="23" t="s">
        <v>24</v>
      </c>
      <c r="K202" s="23" t="s">
        <v>24</v>
      </c>
      <c r="L202" s="22">
        <v>2.1394632139263E-4</v>
      </c>
      <c r="M202" s="134">
        <f t="shared" si="16"/>
        <v>2.1394632139262723E-4</v>
      </c>
      <c r="N202" s="231">
        <f t="shared" si="17"/>
        <v>2.7647155398380363E-18</v>
      </c>
    </row>
    <row r="203" spans="2:14" x14ac:dyDescent="0.45">
      <c r="B203" s="12">
        <v>5</v>
      </c>
      <c r="C203" s="111">
        <v>22</v>
      </c>
      <c r="D203" s="12">
        <v>3</v>
      </c>
      <c r="E203" s="22">
        <f t="shared" si="13"/>
        <v>1.591927717650926E-6</v>
      </c>
      <c r="F203" s="129">
        <f t="shared" si="14"/>
        <v>4.0234064994579266E-21</v>
      </c>
      <c r="G203" s="22">
        <v>1.59192771765093E-6</v>
      </c>
      <c r="H203" s="21">
        <f t="shared" si="15"/>
        <v>21.8</v>
      </c>
      <c r="I203" s="21">
        <v>21.8</v>
      </c>
      <c r="J203" s="23" t="s">
        <v>24</v>
      </c>
      <c r="K203" s="23" t="s">
        <v>24</v>
      </c>
      <c r="L203" s="22">
        <v>3.4712607369219998E-5</v>
      </c>
      <c r="M203" s="134">
        <f t="shared" si="16"/>
        <v>3.4712607369224341E-5</v>
      </c>
      <c r="N203" s="231">
        <f t="shared" si="17"/>
        <v>-4.3435849535200521E-18</v>
      </c>
    </row>
    <row r="204" spans="2:14" x14ac:dyDescent="0.45">
      <c r="B204" s="12">
        <v>5</v>
      </c>
      <c r="C204" s="111">
        <v>23</v>
      </c>
      <c r="D204" s="12">
        <v>2</v>
      </c>
      <c r="E204" s="22">
        <f t="shared" si="13"/>
        <v>2.0764274578055555E-7</v>
      </c>
      <c r="F204" s="129">
        <f t="shared" si="14"/>
        <v>4.4998625322884706E-22</v>
      </c>
      <c r="G204" s="22">
        <v>2.07642745780556E-7</v>
      </c>
      <c r="H204" s="21">
        <f t="shared" si="15"/>
        <v>25.8</v>
      </c>
      <c r="I204" s="21">
        <v>25.8</v>
      </c>
      <c r="J204" s="23" t="s">
        <v>24</v>
      </c>
      <c r="K204" s="23" t="s">
        <v>24</v>
      </c>
      <c r="L204" s="22">
        <v>3.8313317498700002E-6</v>
      </c>
      <c r="M204" s="134">
        <f t="shared" si="16"/>
        <v>3.8313317498718348E-6</v>
      </c>
      <c r="N204" s="231">
        <f t="shared" si="17"/>
        <v>-1.8346733637528145E-18</v>
      </c>
    </row>
    <row r="205" spans="2:14" x14ac:dyDescent="0.45">
      <c r="B205" s="12">
        <v>5</v>
      </c>
      <c r="C205" s="111">
        <v>24</v>
      </c>
      <c r="D205" s="12">
        <v>1</v>
      </c>
      <c r="E205" s="22">
        <f t="shared" si="13"/>
        <v>1.7303562148379628E-8</v>
      </c>
      <c r="F205" s="129">
        <f t="shared" si="14"/>
        <v>-2.9778502051908996E-23</v>
      </c>
      <c r="G205" s="22">
        <v>1.7303562148379599E-8</v>
      </c>
      <c r="H205" s="21">
        <f t="shared" si="15"/>
        <v>30.2</v>
      </c>
      <c r="I205" s="21">
        <v>30.2</v>
      </c>
      <c r="J205" s="23" t="s">
        <v>24</v>
      </c>
      <c r="K205" s="23" t="s">
        <v>24</v>
      </c>
      <c r="L205" s="22">
        <v>2.3992758203000002E-7</v>
      </c>
      <c r="M205" s="134">
        <f t="shared" si="16"/>
        <v>2.3992758202505737E-7</v>
      </c>
      <c r="N205" s="231">
        <f t="shared" si="17"/>
        <v>4.9426490054656561E-18</v>
      </c>
    </row>
    <row r="206" spans="2:14" x14ac:dyDescent="0.45">
      <c r="B206" s="12">
        <v>5</v>
      </c>
      <c r="C206" s="111">
        <v>25</v>
      </c>
      <c r="D206" s="195">
        <v>0</v>
      </c>
      <c r="E206" s="22">
        <f t="shared" si="13"/>
        <v>6.9214248593518523E-10</v>
      </c>
      <c r="F206" s="129">
        <f t="shared" si="14"/>
        <v>0</v>
      </c>
      <c r="G206" s="22">
        <v>6.9214248593518502E-10</v>
      </c>
      <c r="H206" s="21">
        <f t="shared" si="15"/>
        <v>35</v>
      </c>
      <c r="I206" s="21">
        <v>35</v>
      </c>
      <c r="J206" s="23" t="s">
        <v>24</v>
      </c>
      <c r="K206" s="23" t="s">
        <v>24</v>
      </c>
      <c r="L206" s="22">
        <v>3.6028797000000002E-9</v>
      </c>
      <c r="M206" s="207">
        <f>1/(((B206/10)^B206)*((C206/10)^C206))</f>
        <v>3.6028797018963965E-9</v>
      </c>
      <c r="N206" s="231">
        <f t="shared" si="17"/>
        <v>-1.8963963402906026E-18</v>
      </c>
    </row>
    <row r="207" spans="2:14" x14ac:dyDescent="0.45">
      <c r="B207" s="12">
        <v>6</v>
      </c>
      <c r="C207" s="195">
        <v>0</v>
      </c>
      <c r="D207" s="12">
        <v>24</v>
      </c>
      <c r="E207" s="22">
        <f t="shared" si="13"/>
        <v>2.8839270247299382E-9</v>
      </c>
      <c r="F207" s="129">
        <f t="shared" si="14"/>
        <v>0</v>
      </c>
      <c r="G207" s="22">
        <v>2.8839270247299399E-9</v>
      </c>
      <c r="H207" s="21">
        <f t="shared" si="15"/>
        <v>31.2</v>
      </c>
      <c r="I207" s="21">
        <v>31.2</v>
      </c>
      <c r="J207" s="23" t="s">
        <v>24</v>
      </c>
      <c r="K207" s="23" t="s">
        <v>24</v>
      </c>
      <c r="L207" s="22">
        <v>1.6070252350000001E-8</v>
      </c>
      <c r="M207" s="207">
        <f>1/(((B207/10)^B207)*((D207/10)^D207))</f>
        <v>1.6070252354001722E-8</v>
      </c>
      <c r="N207" s="231">
        <f t="shared" si="17"/>
        <v>-4.0017211325192364E-18</v>
      </c>
    </row>
    <row r="208" spans="2:14" x14ac:dyDescent="0.45">
      <c r="B208" s="12">
        <v>6</v>
      </c>
      <c r="C208" s="111">
        <v>1</v>
      </c>
      <c r="D208" s="12">
        <v>23</v>
      </c>
      <c r="E208" s="22">
        <f t="shared" si="13"/>
        <v>6.9214248593518514E-8</v>
      </c>
      <c r="F208" s="129">
        <f t="shared" si="14"/>
        <v>0</v>
      </c>
      <c r="G208" s="22">
        <v>6.9214248593518501E-8</v>
      </c>
      <c r="H208" s="21">
        <f t="shared" si="15"/>
        <v>26.6</v>
      </c>
      <c r="I208" s="21">
        <v>26.6</v>
      </c>
      <c r="J208" s="23" t="s">
        <v>24</v>
      </c>
      <c r="K208" s="23" t="s">
        <v>24</v>
      </c>
      <c r="L208" s="22">
        <v>1.02648420082E-6</v>
      </c>
      <c r="M208" s="134">
        <f t="shared" si="16"/>
        <v>1.0264842008187146E-6</v>
      </c>
      <c r="N208" s="231">
        <f t="shared" si="17"/>
        <v>1.2853724974584008E-18</v>
      </c>
    </row>
    <row r="209" spans="2:14" x14ac:dyDescent="0.45">
      <c r="B209" s="12">
        <v>6</v>
      </c>
      <c r="C209" s="111">
        <v>2</v>
      </c>
      <c r="D209" s="12">
        <v>22</v>
      </c>
      <c r="E209" s="22">
        <f t="shared" si="13"/>
        <v>7.95963858825463E-7</v>
      </c>
      <c r="F209" s="129">
        <f t="shared" si="14"/>
        <v>0</v>
      </c>
      <c r="G209" s="22">
        <v>7.95963858825463E-7</v>
      </c>
      <c r="H209" s="21">
        <f t="shared" si="15"/>
        <v>22.4</v>
      </c>
      <c r="I209" s="21">
        <v>22.4</v>
      </c>
      <c r="J209" s="23" t="s">
        <v>24</v>
      </c>
      <c r="K209" s="23" t="s">
        <v>24</v>
      </c>
      <c r="L209" s="22">
        <v>1.569399566389E-5</v>
      </c>
      <c r="M209" s="134">
        <f t="shared" si="16"/>
        <v>1.5693995663892659E-5</v>
      </c>
      <c r="N209" s="231">
        <f t="shared" si="17"/>
        <v>-2.6596834543785031E-18</v>
      </c>
    </row>
    <row r="210" spans="2:14" x14ac:dyDescent="0.45">
      <c r="B210" s="12">
        <v>6</v>
      </c>
      <c r="C210" s="111">
        <v>3</v>
      </c>
      <c r="D210" s="12">
        <v>21</v>
      </c>
      <c r="E210" s="22">
        <f t="shared" si="13"/>
        <v>5.8370682980533948E-6</v>
      </c>
      <c r="F210" s="129">
        <f t="shared" si="14"/>
        <v>0</v>
      </c>
      <c r="G210" s="22">
        <v>5.8370682980533999E-6</v>
      </c>
      <c r="H210" s="21">
        <f t="shared" si="15"/>
        <v>18.600000000000001</v>
      </c>
      <c r="I210" s="21">
        <v>18.600000000000001</v>
      </c>
      <c r="J210" s="23" t="s">
        <v>24</v>
      </c>
      <c r="K210" s="23" t="s">
        <v>24</v>
      </c>
      <c r="L210" s="22">
        <v>1.358699902153E-4</v>
      </c>
      <c r="M210" s="134">
        <f t="shared" si="16"/>
        <v>1.3586999021530469E-4</v>
      </c>
      <c r="N210" s="231">
        <f t="shared" si="17"/>
        <v>-4.6891743959998067E-18</v>
      </c>
    </row>
    <row r="211" spans="2:14" x14ac:dyDescent="0.45">
      <c r="B211" s="12">
        <v>6</v>
      </c>
      <c r="C211" s="111">
        <v>4</v>
      </c>
      <c r="D211" s="12">
        <v>20</v>
      </c>
      <c r="E211" s="22">
        <f t="shared" si="13"/>
        <v>3.0644608564780322E-5</v>
      </c>
      <c r="F211" s="129">
        <f t="shared" si="14"/>
        <v>0</v>
      </c>
      <c r="G211" s="22">
        <v>3.0644608564780302E-5</v>
      </c>
      <c r="H211" s="21">
        <f t="shared" si="15"/>
        <v>15.2</v>
      </c>
      <c r="I211" s="21">
        <v>15.2</v>
      </c>
      <c r="J211" s="23" t="s">
        <v>24</v>
      </c>
      <c r="K211" s="23" t="s">
        <v>24</v>
      </c>
      <c r="L211" s="22">
        <v>7.9845899744124997E-4</v>
      </c>
      <c r="M211" s="134">
        <f t="shared" si="16"/>
        <v>7.9845899744125366E-4</v>
      </c>
      <c r="N211" s="231">
        <f t="shared" si="17"/>
        <v>-3.6862873864507151E-18</v>
      </c>
    </row>
    <row r="212" spans="2:14" x14ac:dyDescent="0.45">
      <c r="B212" s="12">
        <v>6</v>
      </c>
      <c r="C212" s="111">
        <v>5</v>
      </c>
      <c r="D212" s="12">
        <v>19</v>
      </c>
      <c r="E212" s="22">
        <f t="shared" si="13"/>
        <v>1.2257843425912129E-4</v>
      </c>
      <c r="F212" s="129">
        <f t="shared" si="14"/>
        <v>-2.9815559743351372E-19</v>
      </c>
      <c r="G212" s="22">
        <v>1.2257843425912099E-4</v>
      </c>
      <c r="H212" s="21">
        <f t="shared" si="15"/>
        <v>12.2</v>
      </c>
      <c r="I212" s="21">
        <v>12.2</v>
      </c>
      <c r="J212" s="23" t="s">
        <v>24</v>
      </c>
      <c r="K212" s="23" t="s">
        <v>24</v>
      </c>
      <c r="L212" s="22">
        <v>3.4667622426775399E-3</v>
      </c>
      <c r="M212" s="134">
        <f t="shared" si="16"/>
        <v>3.4667622426775365E-3</v>
      </c>
      <c r="N212" s="231">
        <f t="shared" si="17"/>
        <v>3.4694469519536142E-18</v>
      </c>
    </row>
    <row r="213" spans="2:14" x14ac:dyDescent="0.45">
      <c r="B213" s="12">
        <v>6</v>
      </c>
      <c r="C213" s="111">
        <v>6</v>
      </c>
      <c r="D213" s="12">
        <v>18</v>
      </c>
      <c r="E213" s="22">
        <f t="shared" si="13"/>
        <v>3.8816504182055076E-4</v>
      </c>
      <c r="F213" s="129">
        <f t="shared" si="14"/>
        <v>0</v>
      </c>
      <c r="G213" s="22">
        <v>3.8816504182055098E-4</v>
      </c>
      <c r="H213" s="21">
        <f t="shared" si="15"/>
        <v>9.6</v>
      </c>
      <c r="I213" s="21">
        <v>9.6</v>
      </c>
      <c r="J213" s="23" t="s">
        <v>24</v>
      </c>
      <c r="K213" s="23" t="s">
        <v>24</v>
      </c>
      <c r="L213" s="22">
        <v>1.1675618702440301E-2</v>
      </c>
      <c r="M213" s="134">
        <f t="shared" si="16"/>
        <v>1.1675618702440372E-2</v>
      </c>
      <c r="N213" s="231">
        <f t="shared" si="17"/>
        <v>-7.1123662515049091E-17</v>
      </c>
    </row>
    <row r="214" spans="2:14" x14ac:dyDescent="0.45">
      <c r="B214" s="12">
        <v>6</v>
      </c>
      <c r="C214" s="111">
        <v>7</v>
      </c>
      <c r="D214" s="12">
        <v>17</v>
      </c>
      <c r="E214" s="22">
        <f t="shared" si="13"/>
        <v>9.9813867896713054E-4</v>
      </c>
      <c r="F214" s="129">
        <f t="shared" si="14"/>
        <v>0</v>
      </c>
      <c r="G214" s="22">
        <v>9.9813867896713098E-4</v>
      </c>
      <c r="H214" s="21">
        <f t="shared" si="15"/>
        <v>7.4</v>
      </c>
      <c r="I214" s="21">
        <v>7.4</v>
      </c>
      <c r="J214" s="23" t="s">
        <v>24</v>
      </c>
      <c r="K214" s="23" t="s">
        <v>24</v>
      </c>
      <c r="L214" s="22">
        <v>3.1461147161434701E-2</v>
      </c>
      <c r="M214" s="134">
        <f t="shared" si="16"/>
        <v>3.1461147161434819E-2</v>
      </c>
      <c r="N214" s="231">
        <f t="shared" si="17"/>
        <v>-1.1796119636642288E-16</v>
      </c>
    </row>
    <row r="215" spans="2:14" x14ac:dyDescent="0.45">
      <c r="B215" s="12">
        <v>6</v>
      </c>
      <c r="C215" s="111">
        <v>8</v>
      </c>
      <c r="D215" s="12">
        <v>16</v>
      </c>
      <c r="E215" s="22">
        <f t="shared" si="13"/>
        <v>2.1210446928051525E-3</v>
      </c>
      <c r="F215" s="129">
        <f t="shared" si="14"/>
        <v>0</v>
      </c>
      <c r="G215" s="22">
        <v>2.1210446928051499E-3</v>
      </c>
      <c r="H215" s="21">
        <f t="shared" si="15"/>
        <v>5.6</v>
      </c>
      <c r="I215" s="21">
        <v>5.6</v>
      </c>
      <c r="J215" s="23" t="s">
        <v>24</v>
      </c>
      <c r="K215" s="23" t="s">
        <v>24</v>
      </c>
      <c r="L215" s="22">
        <v>6.9255278373312398E-2</v>
      </c>
      <c r="M215" s="134">
        <f t="shared" si="16"/>
        <v>6.9255278373312246E-2</v>
      </c>
      <c r="N215" s="231">
        <f t="shared" si="17"/>
        <v>1.5265566588595902E-16</v>
      </c>
    </row>
    <row r="216" spans="2:14" x14ac:dyDescent="0.45">
      <c r="B216" s="12">
        <v>6</v>
      </c>
      <c r="C216" s="111">
        <v>9</v>
      </c>
      <c r="D216" s="12">
        <v>15</v>
      </c>
      <c r="E216" s="22">
        <f t="shared" si="13"/>
        <v>3.7707461205424933E-3</v>
      </c>
      <c r="F216" s="129">
        <f t="shared" si="14"/>
        <v>-3.4694469519536142E-18</v>
      </c>
      <c r="G216" s="22">
        <v>3.7707461205424898E-3</v>
      </c>
      <c r="H216" s="21">
        <f t="shared" si="15"/>
        <v>4.2</v>
      </c>
      <c r="I216" s="21">
        <v>4.2</v>
      </c>
      <c r="J216" s="23" t="s">
        <v>24</v>
      </c>
      <c r="K216" s="23" t="s">
        <v>24</v>
      </c>
      <c r="L216" s="22">
        <v>0.12634004490193801</v>
      </c>
      <c r="M216" s="134">
        <f t="shared" si="16"/>
        <v>0.12634004490193854</v>
      </c>
      <c r="N216" s="231">
        <f t="shared" si="17"/>
        <v>-5.2735593669694936E-16</v>
      </c>
    </row>
    <row r="217" spans="2:14" x14ac:dyDescent="0.45">
      <c r="B217" s="12">
        <v>6</v>
      </c>
      <c r="C217" s="111">
        <v>10</v>
      </c>
      <c r="D217" s="12">
        <v>14</v>
      </c>
      <c r="E217" s="22">
        <f t="shared" si="13"/>
        <v>5.6561191808137401E-3</v>
      </c>
      <c r="F217" s="129">
        <f t="shared" si="14"/>
        <v>0</v>
      </c>
      <c r="G217" s="22">
        <v>5.6561191808137401E-3</v>
      </c>
      <c r="H217" s="21">
        <f t="shared" si="15"/>
        <v>3.2</v>
      </c>
      <c r="I217" s="21">
        <v>3.2</v>
      </c>
      <c r="J217" s="23" t="s">
        <v>24</v>
      </c>
      <c r="K217" s="23" t="s">
        <v>24</v>
      </c>
      <c r="L217" s="22">
        <v>0.192885685223364</v>
      </c>
      <c r="M217" s="134">
        <f t="shared" si="16"/>
        <v>0.19288568522336444</v>
      </c>
      <c r="N217" s="231">
        <f t="shared" si="17"/>
        <v>-4.4408920985006262E-16</v>
      </c>
    </row>
    <row r="218" spans="2:14" x14ac:dyDescent="0.45">
      <c r="B218" s="12">
        <v>6</v>
      </c>
      <c r="C218" s="111">
        <v>11</v>
      </c>
      <c r="D218" s="12">
        <v>13</v>
      </c>
      <c r="E218" s="22">
        <f t="shared" si="13"/>
        <v>7.1986971392174869E-3</v>
      </c>
      <c r="F218" s="129">
        <f t="shared" si="14"/>
        <v>0</v>
      </c>
      <c r="G218" s="22">
        <v>7.1986971392174904E-3</v>
      </c>
      <c r="H218" s="21">
        <f t="shared" si="15"/>
        <v>2.6</v>
      </c>
      <c r="I218" s="21">
        <v>2.6</v>
      </c>
      <c r="J218" s="23" t="s">
        <v>27</v>
      </c>
      <c r="K218" s="23" t="s">
        <v>24</v>
      </c>
      <c r="L218" s="22">
        <v>0.24803295134195899</v>
      </c>
      <c r="M218" s="134">
        <f t="shared" si="16"/>
        <v>0.2480329513419596</v>
      </c>
      <c r="N218" s="231">
        <f t="shared" si="17"/>
        <v>-6.106226635438361E-16</v>
      </c>
    </row>
    <row r="219" spans="2:14" x14ac:dyDescent="0.45">
      <c r="B219" s="12">
        <v>6</v>
      </c>
      <c r="C219" s="111">
        <v>12</v>
      </c>
      <c r="D219" s="12">
        <v>12</v>
      </c>
      <c r="E219" s="22">
        <f t="shared" si="13"/>
        <v>7.798588567485611E-3</v>
      </c>
      <c r="F219" s="129">
        <f t="shared" si="14"/>
        <v>0</v>
      </c>
      <c r="G219" s="22">
        <v>7.7985885674856101E-3</v>
      </c>
      <c r="H219" s="21">
        <f t="shared" si="15"/>
        <v>2.4</v>
      </c>
      <c r="I219" s="21">
        <v>2.4</v>
      </c>
      <c r="J219" s="48"/>
      <c r="K219" s="48" t="s">
        <v>24</v>
      </c>
      <c r="L219" s="22">
        <v>0.26961409491759503</v>
      </c>
      <c r="M219" s="134">
        <f t="shared" si="16"/>
        <v>0.26961409491759536</v>
      </c>
      <c r="N219" s="231">
        <f t="shared" si="17"/>
        <v>0</v>
      </c>
    </row>
    <row r="220" spans="2:14" x14ac:dyDescent="0.45">
      <c r="B220" s="12">
        <v>6</v>
      </c>
      <c r="C220" s="111">
        <v>13</v>
      </c>
      <c r="D220" s="12">
        <v>11</v>
      </c>
      <c r="E220" s="22">
        <f t="shared" si="13"/>
        <v>7.1986971392174869E-3</v>
      </c>
      <c r="F220" s="129">
        <f t="shared" si="14"/>
        <v>0</v>
      </c>
      <c r="G220" s="22">
        <v>7.1986971392174904E-3</v>
      </c>
      <c r="H220" s="21">
        <f t="shared" si="15"/>
        <v>2.6</v>
      </c>
      <c r="I220" s="21">
        <v>2.6</v>
      </c>
      <c r="J220" s="23" t="s">
        <v>27</v>
      </c>
      <c r="K220" s="23" t="s">
        <v>24</v>
      </c>
      <c r="L220" s="22">
        <v>0.24803295134195899</v>
      </c>
      <c r="M220" s="134">
        <f t="shared" si="16"/>
        <v>0.24803295134195955</v>
      </c>
      <c r="N220" s="231">
        <f t="shared" si="17"/>
        <v>-5.5511151231257827E-16</v>
      </c>
    </row>
    <row r="221" spans="2:14" x14ac:dyDescent="0.45">
      <c r="B221" s="12">
        <v>6</v>
      </c>
      <c r="C221" s="111">
        <v>14</v>
      </c>
      <c r="D221" s="12">
        <v>10</v>
      </c>
      <c r="E221" s="22">
        <f t="shared" si="13"/>
        <v>5.6561191808137401E-3</v>
      </c>
      <c r="F221" s="129">
        <f t="shared" si="14"/>
        <v>0</v>
      </c>
      <c r="G221" s="22">
        <v>5.6561191808137401E-3</v>
      </c>
      <c r="H221" s="21">
        <f t="shared" si="15"/>
        <v>3.2</v>
      </c>
      <c r="I221" s="21">
        <v>3.2</v>
      </c>
      <c r="J221" s="23" t="s">
        <v>24</v>
      </c>
      <c r="K221" s="23" t="s">
        <v>24</v>
      </c>
      <c r="L221" s="22">
        <v>0.192885685223364</v>
      </c>
      <c r="M221" s="134">
        <f t="shared" si="16"/>
        <v>0.19288568522336444</v>
      </c>
      <c r="N221" s="231">
        <f t="shared" si="17"/>
        <v>-4.4408920985006262E-16</v>
      </c>
    </row>
    <row r="222" spans="2:14" x14ac:dyDescent="0.45">
      <c r="B222" s="12">
        <v>6</v>
      </c>
      <c r="C222" s="111">
        <v>15</v>
      </c>
      <c r="D222" s="12">
        <v>9</v>
      </c>
      <c r="E222" s="22">
        <f t="shared" si="13"/>
        <v>3.7707461205424933E-3</v>
      </c>
      <c r="F222" s="129">
        <f t="shared" si="14"/>
        <v>-3.4694469519536142E-18</v>
      </c>
      <c r="G222" s="22">
        <v>3.7707461205424898E-3</v>
      </c>
      <c r="H222" s="21">
        <f t="shared" si="15"/>
        <v>4.2</v>
      </c>
      <c r="I222" s="21">
        <v>4.2</v>
      </c>
      <c r="J222" s="23" t="s">
        <v>24</v>
      </c>
      <c r="K222" s="23" t="s">
        <v>24</v>
      </c>
      <c r="L222" s="22">
        <v>0.12634004490193801</v>
      </c>
      <c r="M222" s="134">
        <f t="shared" si="16"/>
        <v>0.12634004490193854</v>
      </c>
      <c r="N222" s="231">
        <f t="shared" si="17"/>
        <v>-5.2735593669694936E-16</v>
      </c>
    </row>
    <row r="223" spans="2:14" x14ac:dyDescent="0.45">
      <c r="B223" s="12">
        <v>6</v>
      </c>
      <c r="C223" s="111">
        <v>16</v>
      </c>
      <c r="D223" s="12">
        <v>8</v>
      </c>
      <c r="E223" s="22">
        <f t="shared" si="13"/>
        <v>2.1210446928051525E-3</v>
      </c>
      <c r="F223" s="129">
        <f t="shared" si="14"/>
        <v>0</v>
      </c>
      <c r="G223" s="22">
        <v>2.1210446928051499E-3</v>
      </c>
      <c r="H223" s="21">
        <f t="shared" si="15"/>
        <v>5.6</v>
      </c>
      <c r="I223" s="21">
        <v>5.6</v>
      </c>
      <c r="J223" s="23" t="s">
        <v>24</v>
      </c>
      <c r="K223" s="23" t="s">
        <v>24</v>
      </c>
      <c r="L223" s="22">
        <v>6.9255278373312398E-2</v>
      </c>
      <c r="M223" s="134">
        <f t="shared" si="16"/>
        <v>6.9255278373312246E-2</v>
      </c>
      <c r="N223" s="231">
        <f t="shared" si="17"/>
        <v>1.5265566588595902E-16</v>
      </c>
    </row>
    <row r="224" spans="2:14" x14ac:dyDescent="0.45">
      <c r="B224" s="12">
        <v>6</v>
      </c>
      <c r="C224" s="111">
        <v>17</v>
      </c>
      <c r="D224" s="12">
        <v>7</v>
      </c>
      <c r="E224" s="22">
        <f t="shared" si="13"/>
        <v>9.9813867896713054E-4</v>
      </c>
      <c r="F224" s="129">
        <f t="shared" si="14"/>
        <v>0</v>
      </c>
      <c r="G224" s="22">
        <v>9.9813867896713098E-4</v>
      </c>
      <c r="H224" s="21">
        <f t="shared" si="15"/>
        <v>7.4</v>
      </c>
      <c r="I224" s="21">
        <v>7.4</v>
      </c>
      <c r="J224" s="23" t="s">
        <v>24</v>
      </c>
      <c r="K224" s="23" t="s">
        <v>24</v>
      </c>
      <c r="L224" s="22">
        <v>3.1461147161434701E-2</v>
      </c>
      <c r="M224" s="134">
        <f t="shared" si="16"/>
        <v>3.1461147161434819E-2</v>
      </c>
      <c r="N224" s="231">
        <f t="shared" si="17"/>
        <v>-1.1796119636642288E-16</v>
      </c>
    </row>
    <row r="225" spans="2:14" x14ac:dyDescent="0.45">
      <c r="B225" s="12">
        <v>6</v>
      </c>
      <c r="C225" s="111">
        <v>18</v>
      </c>
      <c r="D225" s="12">
        <v>6</v>
      </c>
      <c r="E225" s="22">
        <f t="shared" si="13"/>
        <v>3.8816504182055076E-4</v>
      </c>
      <c r="F225" s="129">
        <f t="shared" si="14"/>
        <v>0</v>
      </c>
      <c r="G225" s="22">
        <v>3.8816504182055098E-4</v>
      </c>
      <c r="H225" s="21">
        <f t="shared" si="15"/>
        <v>9.6</v>
      </c>
      <c r="I225" s="21">
        <v>9.6</v>
      </c>
      <c r="J225" s="23" t="s">
        <v>24</v>
      </c>
      <c r="K225" s="23" t="s">
        <v>24</v>
      </c>
      <c r="L225" s="22">
        <v>1.1675618702440301E-2</v>
      </c>
      <c r="M225" s="134">
        <f t="shared" si="16"/>
        <v>1.167561870244037E-2</v>
      </c>
      <c r="N225" s="231">
        <f t="shared" si="17"/>
        <v>-6.9388939039072284E-17</v>
      </c>
    </row>
    <row r="226" spans="2:14" x14ac:dyDescent="0.45">
      <c r="B226" s="12">
        <v>6</v>
      </c>
      <c r="C226" s="111">
        <v>19</v>
      </c>
      <c r="D226" s="12">
        <v>5</v>
      </c>
      <c r="E226" s="22">
        <f t="shared" si="13"/>
        <v>1.2257843425912129E-4</v>
      </c>
      <c r="F226" s="129">
        <f t="shared" si="14"/>
        <v>-2.9815559743351372E-19</v>
      </c>
      <c r="G226" s="22">
        <v>1.2257843425912099E-4</v>
      </c>
      <c r="H226" s="21">
        <f t="shared" si="15"/>
        <v>12.2</v>
      </c>
      <c r="I226" s="21">
        <v>12.2</v>
      </c>
      <c r="J226" s="23" t="s">
        <v>24</v>
      </c>
      <c r="K226" s="23" t="s">
        <v>24</v>
      </c>
      <c r="L226" s="22">
        <v>3.4667622426775399E-3</v>
      </c>
      <c r="M226" s="134">
        <f t="shared" si="16"/>
        <v>3.4667622426775365E-3</v>
      </c>
      <c r="N226" s="231">
        <f t="shared" si="17"/>
        <v>3.4694469519536142E-18</v>
      </c>
    </row>
    <row r="227" spans="2:14" x14ac:dyDescent="0.45">
      <c r="B227" s="12">
        <v>6</v>
      </c>
      <c r="C227" s="111">
        <v>20</v>
      </c>
      <c r="D227" s="12">
        <v>4</v>
      </c>
      <c r="E227" s="22">
        <f t="shared" si="13"/>
        <v>3.0644608564780322E-5</v>
      </c>
      <c r="F227" s="129">
        <f t="shared" si="14"/>
        <v>0</v>
      </c>
      <c r="G227" s="22">
        <v>3.0644608564780302E-5</v>
      </c>
      <c r="H227" s="21">
        <f t="shared" si="15"/>
        <v>15.2</v>
      </c>
      <c r="I227" s="21">
        <v>15.2</v>
      </c>
      <c r="J227" s="23" t="s">
        <v>24</v>
      </c>
      <c r="K227" s="23" t="s">
        <v>24</v>
      </c>
      <c r="L227" s="22">
        <v>7.9845899744124997E-4</v>
      </c>
      <c r="M227" s="134">
        <f t="shared" si="16"/>
        <v>7.9845899744125366E-4</v>
      </c>
      <c r="N227" s="231">
        <f t="shared" si="17"/>
        <v>-3.6862873864507151E-18</v>
      </c>
    </row>
    <row r="228" spans="2:14" x14ac:dyDescent="0.45">
      <c r="B228" s="12">
        <v>6</v>
      </c>
      <c r="C228" s="111">
        <v>21</v>
      </c>
      <c r="D228" s="12">
        <v>3</v>
      </c>
      <c r="E228" s="22">
        <f t="shared" si="13"/>
        <v>5.8370682980533948E-6</v>
      </c>
      <c r="F228" s="129">
        <f t="shared" si="14"/>
        <v>0</v>
      </c>
      <c r="G228" s="22">
        <v>5.8370682980533999E-6</v>
      </c>
      <c r="H228" s="21">
        <f t="shared" si="15"/>
        <v>18.600000000000001</v>
      </c>
      <c r="I228" s="21">
        <v>18.600000000000001</v>
      </c>
      <c r="J228" s="23" t="s">
        <v>24</v>
      </c>
      <c r="K228" s="23" t="s">
        <v>24</v>
      </c>
      <c r="L228" s="22">
        <v>1.358699902153E-4</v>
      </c>
      <c r="M228" s="134">
        <f t="shared" si="16"/>
        <v>1.3586999021530466E-4</v>
      </c>
      <c r="N228" s="231">
        <f t="shared" si="17"/>
        <v>-4.6620693416876691E-18</v>
      </c>
    </row>
    <row r="229" spans="2:14" x14ac:dyDescent="0.45">
      <c r="B229" s="12">
        <v>6</v>
      </c>
      <c r="C229" s="111">
        <v>22</v>
      </c>
      <c r="D229" s="12">
        <v>2</v>
      </c>
      <c r="E229" s="22">
        <f t="shared" ref="E229:E292" si="18">$E$36*FACT(30)/(FACT(B229)*FACT(C229)*FACT(D229))</f>
        <v>7.95963858825463E-7</v>
      </c>
      <c r="F229" s="129">
        <f t="shared" ref="F229:F292" si="19">G229-E229</f>
        <v>0</v>
      </c>
      <c r="G229" s="22">
        <v>7.95963858825463E-7</v>
      </c>
      <c r="H229" s="21">
        <f t="shared" ref="H229:H292" si="20">(((B229-10))^2+((C229-10))^2+((D229-10))^2)/10</f>
        <v>22.4</v>
      </c>
      <c r="I229" s="21">
        <v>22.4</v>
      </c>
      <c r="J229" s="23" t="s">
        <v>24</v>
      </c>
      <c r="K229" s="23" t="s">
        <v>24</v>
      </c>
      <c r="L229" s="22">
        <v>1.569399566389E-5</v>
      </c>
      <c r="M229" s="134">
        <f t="shared" ref="M229:M292" si="21">1/(((B229/10)^B229)*((C229/10)^C229)*((D229/10)^D229))</f>
        <v>1.5693995663892659E-5</v>
      </c>
      <c r="N229" s="231">
        <f t="shared" ref="N229:N292" si="22">L229-M229</f>
        <v>-2.6596834543785031E-18</v>
      </c>
    </row>
    <row r="230" spans="2:14" x14ac:dyDescent="0.45">
      <c r="B230" s="12">
        <v>6</v>
      </c>
      <c r="C230" s="111">
        <v>23</v>
      </c>
      <c r="D230" s="12">
        <v>1</v>
      </c>
      <c r="E230" s="22">
        <f t="shared" si="18"/>
        <v>6.9214248593518514E-8</v>
      </c>
      <c r="F230" s="129">
        <f t="shared" si="19"/>
        <v>0</v>
      </c>
      <c r="G230" s="22">
        <v>6.9214248593518501E-8</v>
      </c>
      <c r="H230" s="21">
        <f t="shared" si="20"/>
        <v>26.6</v>
      </c>
      <c r="I230" s="21">
        <v>26.6</v>
      </c>
      <c r="J230" s="23" t="s">
        <v>24</v>
      </c>
      <c r="K230" s="23" t="s">
        <v>24</v>
      </c>
      <c r="L230" s="22">
        <v>1.02648420082E-6</v>
      </c>
      <c r="M230" s="134">
        <f t="shared" si="21"/>
        <v>1.0264842008187144E-6</v>
      </c>
      <c r="N230" s="231">
        <f t="shared" si="22"/>
        <v>1.2855842556952143E-18</v>
      </c>
    </row>
    <row r="231" spans="2:14" x14ac:dyDescent="0.45">
      <c r="B231" s="12">
        <v>6</v>
      </c>
      <c r="C231" s="111">
        <v>24</v>
      </c>
      <c r="D231" s="195">
        <v>0</v>
      </c>
      <c r="E231" s="22">
        <f t="shared" si="18"/>
        <v>2.8839270247299382E-9</v>
      </c>
      <c r="F231" s="129">
        <f t="shared" si="19"/>
        <v>0</v>
      </c>
      <c r="G231" s="22">
        <v>2.8839270247299399E-9</v>
      </c>
      <c r="H231" s="21">
        <f t="shared" si="20"/>
        <v>31.2</v>
      </c>
      <c r="I231" s="21">
        <v>31.2</v>
      </c>
      <c r="J231" s="23" t="s">
        <v>24</v>
      </c>
      <c r="K231" s="23" t="s">
        <v>24</v>
      </c>
      <c r="L231" s="22">
        <v>1.6070252350000001E-8</v>
      </c>
      <c r="M231" s="207">
        <f>1/(((B231/10)^B231)*((C231/10)^C231))</f>
        <v>1.6070252354001722E-8</v>
      </c>
      <c r="N231" s="231">
        <f t="shared" si="22"/>
        <v>-4.0017211325192364E-18</v>
      </c>
    </row>
    <row r="232" spans="2:14" x14ac:dyDescent="0.45">
      <c r="B232" s="12">
        <v>7</v>
      </c>
      <c r="C232" s="195">
        <v>0</v>
      </c>
      <c r="D232" s="12">
        <v>23</v>
      </c>
      <c r="E232" s="22">
        <f t="shared" si="18"/>
        <v>9.8877497990740741E-9</v>
      </c>
      <c r="F232" s="129">
        <f t="shared" si="19"/>
        <v>0</v>
      </c>
      <c r="G232" s="22">
        <v>9.8877497990740807E-9</v>
      </c>
      <c r="H232" s="21">
        <f t="shared" si="20"/>
        <v>27.8</v>
      </c>
      <c r="I232" s="21">
        <v>27.8</v>
      </c>
      <c r="J232" s="23" t="s">
        <v>24</v>
      </c>
      <c r="K232" s="23" t="s">
        <v>24</v>
      </c>
      <c r="L232" s="22">
        <v>5.8153183100000002E-8</v>
      </c>
      <c r="M232" s="207">
        <f>1/(((B232/10)^B232)*((D232/10)^D232))</f>
        <v>5.8153183104462032E-8</v>
      </c>
      <c r="N232" s="231">
        <f t="shared" si="22"/>
        <v>-4.4620305997927453E-18</v>
      </c>
    </row>
    <row r="233" spans="2:14" x14ac:dyDescent="0.45">
      <c r="B233" s="12">
        <v>7</v>
      </c>
      <c r="C233" s="111">
        <v>1</v>
      </c>
      <c r="D233" s="12">
        <v>22</v>
      </c>
      <c r="E233" s="22">
        <f t="shared" si="18"/>
        <v>2.2741824537870371E-7</v>
      </c>
      <c r="F233" s="129">
        <f t="shared" si="19"/>
        <v>2.9116757561866574E-22</v>
      </c>
      <c r="G233" s="22">
        <v>2.27418245378704E-7</v>
      </c>
      <c r="H233" s="21">
        <f t="shared" si="20"/>
        <v>23.4</v>
      </c>
      <c r="I233" s="21">
        <v>23.4</v>
      </c>
      <c r="J233" s="23" t="s">
        <v>24</v>
      </c>
      <c r="K233" s="23" t="s">
        <v>24</v>
      </c>
      <c r="L233" s="22">
        <v>3.5564339042099999E-6</v>
      </c>
      <c r="M233" s="134">
        <f t="shared" si="21"/>
        <v>3.5564339042142376E-6</v>
      </c>
      <c r="N233" s="231">
        <f t="shared" si="22"/>
        <v>-4.2377058351132646E-18</v>
      </c>
    </row>
    <row r="234" spans="2:14" x14ac:dyDescent="0.45">
      <c r="B234" s="12">
        <v>7</v>
      </c>
      <c r="C234" s="111">
        <v>2</v>
      </c>
      <c r="D234" s="12">
        <v>21</v>
      </c>
      <c r="E234" s="22">
        <f t="shared" si="18"/>
        <v>2.5016006991657406E-6</v>
      </c>
      <c r="F234" s="129">
        <f t="shared" si="19"/>
        <v>0</v>
      </c>
      <c r="G234" s="22">
        <v>2.5016006991657402E-6</v>
      </c>
      <c r="H234" s="21">
        <f t="shared" si="20"/>
        <v>19.399999999999999</v>
      </c>
      <c r="I234" s="21">
        <v>19.399999999999999</v>
      </c>
      <c r="J234" s="23" t="s">
        <v>24</v>
      </c>
      <c r="K234" s="23" t="s">
        <v>24</v>
      </c>
      <c r="L234" s="22">
        <v>5.1957535038879999E-5</v>
      </c>
      <c r="M234" s="134">
        <f t="shared" si="21"/>
        <v>5.1957535038881381E-5</v>
      </c>
      <c r="N234" s="231">
        <f t="shared" si="22"/>
        <v>-1.3823577699190182E-18</v>
      </c>
    </row>
    <row r="235" spans="2:14" x14ac:dyDescent="0.45">
      <c r="B235" s="12">
        <v>7</v>
      </c>
      <c r="C235" s="111">
        <v>3</v>
      </c>
      <c r="D235" s="12">
        <v>20</v>
      </c>
      <c r="E235" s="22">
        <f t="shared" si="18"/>
        <v>1.7511204894160184E-5</v>
      </c>
      <c r="F235" s="129">
        <f t="shared" si="19"/>
        <v>0</v>
      </c>
      <c r="G235" s="22">
        <v>1.7511204894160201E-5</v>
      </c>
      <c r="H235" s="21">
        <f t="shared" si="20"/>
        <v>15.8</v>
      </c>
      <c r="I235" s="21">
        <v>15.8</v>
      </c>
      <c r="J235" s="23" t="s">
        <v>24</v>
      </c>
      <c r="K235" s="23" t="s">
        <v>24</v>
      </c>
      <c r="L235" s="22">
        <v>4.2889407083793998E-4</v>
      </c>
      <c r="M235" s="134">
        <f t="shared" si="21"/>
        <v>4.2889407083794389E-4</v>
      </c>
      <c r="N235" s="231">
        <f t="shared" si="22"/>
        <v>-3.903127820947816E-18</v>
      </c>
    </row>
    <row r="236" spans="2:14" x14ac:dyDescent="0.45">
      <c r="B236" s="12">
        <v>7</v>
      </c>
      <c r="C236" s="111">
        <v>4</v>
      </c>
      <c r="D236" s="12">
        <v>19</v>
      </c>
      <c r="E236" s="22">
        <f t="shared" si="18"/>
        <v>8.7556024470800928E-5</v>
      </c>
      <c r="F236" s="129">
        <f t="shared" si="19"/>
        <v>0</v>
      </c>
      <c r="G236" s="22">
        <v>8.7556024470800996E-5</v>
      </c>
      <c r="H236" s="21">
        <f t="shared" si="20"/>
        <v>12.6</v>
      </c>
      <c r="I236" s="21">
        <v>12.6</v>
      </c>
      <c r="J236" s="23" t="s">
        <v>24</v>
      </c>
      <c r="K236" s="23" t="s">
        <v>24</v>
      </c>
      <c r="L236" s="22">
        <v>2.3974818965432801E-3</v>
      </c>
      <c r="M236" s="134">
        <f t="shared" si="21"/>
        <v>2.3974818965432779E-3</v>
      </c>
      <c r="N236" s="231">
        <f t="shared" si="22"/>
        <v>0</v>
      </c>
    </row>
    <row r="237" spans="2:14" x14ac:dyDescent="0.45">
      <c r="B237" s="12">
        <v>7</v>
      </c>
      <c r="C237" s="111">
        <v>5</v>
      </c>
      <c r="D237" s="12">
        <v>18</v>
      </c>
      <c r="E237" s="22">
        <f t="shared" si="18"/>
        <v>3.3271289298904353E-4</v>
      </c>
      <c r="F237" s="129">
        <f t="shared" si="19"/>
        <v>4.87890977618477E-19</v>
      </c>
      <c r="G237" s="22">
        <v>3.3271289298904402E-4</v>
      </c>
      <c r="H237" s="21">
        <f t="shared" si="20"/>
        <v>9.8000000000000007</v>
      </c>
      <c r="I237" s="21">
        <v>9.8000000000000007</v>
      </c>
      <c r="J237" s="23" t="s">
        <v>24</v>
      </c>
      <c r="K237" s="23" t="s">
        <v>24</v>
      </c>
      <c r="L237" s="22">
        <v>9.8754889265890294E-3</v>
      </c>
      <c r="M237" s="134">
        <f t="shared" si="21"/>
        <v>9.8754889265890242E-3</v>
      </c>
      <c r="N237" s="231">
        <f t="shared" si="22"/>
        <v>0</v>
      </c>
    </row>
    <row r="238" spans="2:14" x14ac:dyDescent="0.45">
      <c r="B238" s="12">
        <v>7</v>
      </c>
      <c r="C238" s="111">
        <v>6</v>
      </c>
      <c r="D238" s="12">
        <v>17</v>
      </c>
      <c r="E238" s="22">
        <f t="shared" si="18"/>
        <v>9.9813867896713054E-4</v>
      </c>
      <c r="F238" s="129">
        <f t="shared" si="19"/>
        <v>0</v>
      </c>
      <c r="G238" s="22">
        <v>9.9813867896713098E-4</v>
      </c>
      <c r="H238" s="21">
        <f t="shared" si="20"/>
        <v>7.4</v>
      </c>
      <c r="I238" s="21">
        <v>7.4</v>
      </c>
      <c r="J238" s="23" t="s">
        <v>24</v>
      </c>
      <c r="K238" s="23" t="s">
        <v>24</v>
      </c>
      <c r="L238" s="22">
        <v>3.1461147161434701E-2</v>
      </c>
      <c r="M238" s="134">
        <f t="shared" si="21"/>
        <v>3.1461147161434819E-2</v>
      </c>
      <c r="N238" s="231">
        <f t="shared" si="22"/>
        <v>-1.1796119636642288E-16</v>
      </c>
    </row>
    <row r="239" spans="2:14" x14ac:dyDescent="0.45">
      <c r="B239" s="12">
        <v>7</v>
      </c>
      <c r="C239" s="111">
        <v>7</v>
      </c>
      <c r="D239" s="12">
        <v>16</v>
      </c>
      <c r="E239" s="22">
        <f t="shared" si="18"/>
        <v>2.4240510774916025E-3</v>
      </c>
      <c r="F239" s="129">
        <f t="shared" si="19"/>
        <v>0</v>
      </c>
      <c r="G239" s="22">
        <v>2.4240510774915999E-3</v>
      </c>
      <c r="H239" s="21">
        <f t="shared" si="20"/>
        <v>5.4</v>
      </c>
      <c r="I239" s="21">
        <v>5.4</v>
      </c>
      <c r="J239" s="23" t="s">
        <v>24</v>
      </c>
      <c r="K239" s="23" t="s">
        <v>24</v>
      </c>
      <c r="L239" s="22">
        <v>7.9929614303087204E-2</v>
      </c>
      <c r="M239" s="134">
        <f t="shared" si="21"/>
        <v>7.9929614303087218E-2</v>
      </c>
      <c r="N239" s="231">
        <f t="shared" si="22"/>
        <v>0</v>
      </c>
    </row>
    <row r="240" spans="2:14" x14ac:dyDescent="0.45">
      <c r="B240" s="12">
        <v>7</v>
      </c>
      <c r="C240" s="111">
        <v>8</v>
      </c>
      <c r="D240" s="12">
        <v>15</v>
      </c>
      <c r="E240" s="22">
        <f t="shared" si="18"/>
        <v>4.8481021549832051E-3</v>
      </c>
      <c r="F240" s="129">
        <f t="shared" si="19"/>
        <v>0</v>
      </c>
      <c r="G240" s="22">
        <v>4.8481021549832103E-3</v>
      </c>
      <c r="H240" s="21">
        <f t="shared" si="20"/>
        <v>3.8</v>
      </c>
      <c r="I240" s="21">
        <v>3.8</v>
      </c>
      <c r="J240" s="23" t="s">
        <v>24</v>
      </c>
      <c r="K240" s="23" t="s">
        <v>24</v>
      </c>
      <c r="L240" s="22">
        <v>0.16528176355909799</v>
      </c>
      <c r="M240" s="134">
        <f t="shared" si="21"/>
        <v>0.16528176355909846</v>
      </c>
      <c r="N240" s="231">
        <f t="shared" si="22"/>
        <v>-4.7184478546569153E-16</v>
      </c>
    </row>
    <row r="241" spans="2:14" x14ac:dyDescent="0.45">
      <c r="B241" s="12">
        <v>7</v>
      </c>
      <c r="C241" s="111">
        <v>9</v>
      </c>
      <c r="D241" s="12">
        <v>14</v>
      </c>
      <c r="E241" s="22">
        <f t="shared" si="18"/>
        <v>8.0801702583053418E-3</v>
      </c>
      <c r="F241" s="129">
        <f t="shared" si="19"/>
        <v>0</v>
      </c>
      <c r="G241" s="22">
        <v>8.0801702583053504E-3</v>
      </c>
      <c r="H241" s="21">
        <f t="shared" si="20"/>
        <v>2.6</v>
      </c>
      <c r="I241" s="21">
        <v>2.6</v>
      </c>
      <c r="J241" s="23" t="s">
        <v>27</v>
      </c>
      <c r="K241" s="23" t="s">
        <v>27</v>
      </c>
      <c r="L241" s="22">
        <v>0.282058138554733</v>
      </c>
      <c r="M241" s="134">
        <f t="shared" si="21"/>
        <v>0.28205813855473377</v>
      </c>
      <c r="N241" s="231">
        <f t="shared" si="22"/>
        <v>-7.7715611723760958E-16</v>
      </c>
    </row>
    <row r="242" spans="2:14" x14ac:dyDescent="0.45">
      <c r="B242" s="12">
        <v>7</v>
      </c>
      <c r="C242" s="111">
        <v>10</v>
      </c>
      <c r="D242" s="12">
        <v>13</v>
      </c>
      <c r="E242" s="22">
        <f t="shared" si="18"/>
        <v>1.131223836162748E-2</v>
      </c>
      <c r="F242" s="129">
        <f t="shared" si="19"/>
        <v>1.9081958235744878E-17</v>
      </c>
      <c r="G242" s="22">
        <v>1.1312238361627499E-2</v>
      </c>
      <c r="H242" s="21">
        <f t="shared" si="20"/>
        <v>1.8</v>
      </c>
      <c r="I242" s="21">
        <v>1.8</v>
      </c>
      <c r="J242" s="23"/>
      <c r="K242" s="23"/>
      <c r="L242" s="22">
        <v>0.40091300092771298</v>
      </c>
      <c r="M242" s="134">
        <f t="shared" si="21"/>
        <v>0.40091300092771343</v>
      </c>
      <c r="N242" s="231">
        <f t="shared" si="22"/>
        <v>-4.4408920985006262E-16</v>
      </c>
    </row>
    <row r="243" spans="2:14" x14ac:dyDescent="0.45">
      <c r="B243" s="12">
        <v>7</v>
      </c>
      <c r="C243" s="111">
        <v>11</v>
      </c>
      <c r="D243" s="12">
        <v>12</v>
      </c>
      <c r="E243" s="22">
        <f t="shared" si="18"/>
        <v>1.3369008972832476E-2</v>
      </c>
      <c r="F243" s="129">
        <f t="shared" si="19"/>
        <v>2.4286128663675299E-17</v>
      </c>
      <c r="G243" s="22">
        <v>1.33690089728325E-2</v>
      </c>
      <c r="H243" s="21">
        <f t="shared" si="20"/>
        <v>1.4</v>
      </c>
      <c r="I243" s="21">
        <v>1.4</v>
      </c>
      <c r="J243" s="23"/>
      <c r="K243" s="23"/>
      <c r="L243" s="22">
        <v>0.47733054968894301</v>
      </c>
      <c r="M243" s="134">
        <f t="shared" si="21"/>
        <v>0.47733054968894295</v>
      </c>
      <c r="N243" s="231">
        <f t="shared" si="22"/>
        <v>0</v>
      </c>
    </row>
    <row r="244" spans="2:14" x14ac:dyDescent="0.45">
      <c r="B244" s="12">
        <v>7</v>
      </c>
      <c r="C244" s="111">
        <v>12</v>
      </c>
      <c r="D244" s="12">
        <v>11</v>
      </c>
      <c r="E244" s="22">
        <f t="shared" si="18"/>
        <v>1.3369008972832476E-2</v>
      </c>
      <c r="F244" s="129">
        <f t="shared" si="19"/>
        <v>2.4286128663675299E-17</v>
      </c>
      <c r="G244" s="22">
        <v>1.33690089728325E-2</v>
      </c>
      <c r="H244" s="21">
        <f t="shared" si="20"/>
        <v>1.4</v>
      </c>
      <c r="I244" s="21">
        <v>1.4</v>
      </c>
      <c r="J244" s="23"/>
      <c r="K244" s="23"/>
      <c r="L244" s="22">
        <v>0.47733054968894301</v>
      </c>
      <c r="M244" s="134">
        <f t="shared" si="21"/>
        <v>0.47733054968894295</v>
      </c>
      <c r="N244" s="231">
        <f t="shared" si="22"/>
        <v>0</v>
      </c>
    </row>
    <row r="245" spans="2:14" x14ac:dyDescent="0.45">
      <c r="B245" s="12">
        <v>7</v>
      </c>
      <c r="C245" s="111">
        <v>13</v>
      </c>
      <c r="D245" s="12">
        <v>10</v>
      </c>
      <c r="E245" s="22">
        <f t="shared" si="18"/>
        <v>1.131223836162748E-2</v>
      </c>
      <c r="F245" s="129">
        <f t="shared" si="19"/>
        <v>1.9081958235744878E-17</v>
      </c>
      <c r="G245" s="22">
        <v>1.1312238361627499E-2</v>
      </c>
      <c r="H245" s="21">
        <f t="shared" si="20"/>
        <v>1.8</v>
      </c>
      <c r="I245" s="21">
        <v>1.8</v>
      </c>
      <c r="J245" s="23"/>
      <c r="K245" s="23"/>
      <c r="L245" s="22">
        <v>0.40091300092771298</v>
      </c>
      <c r="M245" s="134">
        <f t="shared" si="21"/>
        <v>0.40091300092771343</v>
      </c>
      <c r="N245" s="231">
        <f t="shared" si="22"/>
        <v>-4.4408920985006262E-16</v>
      </c>
    </row>
    <row r="246" spans="2:14" x14ac:dyDescent="0.45">
      <c r="B246" s="12">
        <v>7</v>
      </c>
      <c r="C246" s="111">
        <v>14</v>
      </c>
      <c r="D246" s="12">
        <v>9</v>
      </c>
      <c r="E246" s="22">
        <f t="shared" si="18"/>
        <v>8.0801702583053418E-3</v>
      </c>
      <c r="F246" s="129">
        <f t="shared" si="19"/>
        <v>0</v>
      </c>
      <c r="G246" s="22">
        <v>8.0801702583053504E-3</v>
      </c>
      <c r="H246" s="21">
        <f t="shared" si="20"/>
        <v>2.6</v>
      </c>
      <c r="I246" s="21">
        <v>2.6</v>
      </c>
      <c r="J246" s="23" t="s">
        <v>27</v>
      </c>
      <c r="K246" s="23" t="s">
        <v>27</v>
      </c>
      <c r="L246" s="22">
        <v>0.282058138554733</v>
      </c>
      <c r="M246" s="134">
        <f t="shared" si="21"/>
        <v>0.28205813855473377</v>
      </c>
      <c r="N246" s="231">
        <f t="shared" si="22"/>
        <v>-7.7715611723760958E-16</v>
      </c>
    </row>
    <row r="247" spans="2:14" x14ac:dyDescent="0.45">
      <c r="B247" s="12">
        <v>7</v>
      </c>
      <c r="C247" s="111">
        <v>15</v>
      </c>
      <c r="D247" s="12">
        <v>8</v>
      </c>
      <c r="E247" s="22">
        <f t="shared" si="18"/>
        <v>4.8481021549832051E-3</v>
      </c>
      <c r="F247" s="129">
        <f t="shared" si="19"/>
        <v>0</v>
      </c>
      <c r="G247" s="22">
        <v>4.8481021549832103E-3</v>
      </c>
      <c r="H247" s="21">
        <f t="shared" si="20"/>
        <v>3.8</v>
      </c>
      <c r="I247" s="21">
        <v>3.8</v>
      </c>
      <c r="J247" s="23" t="s">
        <v>24</v>
      </c>
      <c r="K247" s="23" t="s">
        <v>24</v>
      </c>
      <c r="L247" s="22">
        <v>0.16528176355909799</v>
      </c>
      <c r="M247" s="134">
        <f t="shared" si="21"/>
        <v>0.16528176355909846</v>
      </c>
      <c r="N247" s="231">
        <f t="shared" si="22"/>
        <v>-4.7184478546569153E-16</v>
      </c>
    </row>
    <row r="248" spans="2:14" x14ac:dyDescent="0.45">
      <c r="B248" s="12">
        <v>7</v>
      </c>
      <c r="C248" s="111">
        <v>16</v>
      </c>
      <c r="D248" s="12">
        <v>7</v>
      </c>
      <c r="E248" s="22">
        <f t="shared" si="18"/>
        <v>2.4240510774916025E-3</v>
      </c>
      <c r="F248" s="129">
        <f t="shared" si="19"/>
        <v>0</v>
      </c>
      <c r="G248" s="22">
        <v>2.4240510774915999E-3</v>
      </c>
      <c r="H248" s="21">
        <f t="shared" si="20"/>
        <v>5.4</v>
      </c>
      <c r="I248" s="21">
        <v>5.4</v>
      </c>
      <c r="J248" s="23" t="s">
        <v>24</v>
      </c>
      <c r="K248" s="23" t="s">
        <v>24</v>
      </c>
      <c r="L248" s="22">
        <v>7.9929614303087204E-2</v>
      </c>
      <c r="M248" s="134">
        <f t="shared" si="21"/>
        <v>7.9929614303087218E-2</v>
      </c>
      <c r="N248" s="231">
        <f t="shared" si="22"/>
        <v>0</v>
      </c>
    </row>
    <row r="249" spans="2:14" x14ac:dyDescent="0.45">
      <c r="B249" s="12">
        <v>7</v>
      </c>
      <c r="C249" s="111">
        <v>17</v>
      </c>
      <c r="D249" s="12">
        <v>6</v>
      </c>
      <c r="E249" s="22">
        <f t="shared" si="18"/>
        <v>9.9813867896713054E-4</v>
      </c>
      <c r="F249" s="129">
        <f t="shared" si="19"/>
        <v>0</v>
      </c>
      <c r="G249" s="22">
        <v>9.9813867896713098E-4</v>
      </c>
      <c r="H249" s="21">
        <f t="shared" si="20"/>
        <v>7.4</v>
      </c>
      <c r="I249" s="21">
        <v>7.4</v>
      </c>
      <c r="J249" s="23" t="s">
        <v>24</v>
      </c>
      <c r="K249" s="23" t="s">
        <v>24</v>
      </c>
      <c r="L249" s="22">
        <v>3.1461147161434701E-2</v>
      </c>
      <c r="M249" s="134">
        <f t="shared" si="21"/>
        <v>3.1461147161434819E-2</v>
      </c>
      <c r="N249" s="231">
        <f t="shared" si="22"/>
        <v>-1.1796119636642288E-16</v>
      </c>
    </row>
    <row r="250" spans="2:14" x14ac:dyDescent="0.45">
      <c r="B250" s="12">
        <v>7</v>
      </c>
      <c r="C250" s="111">
        <v>18</v>
      </c>
      <c r="D250" s="12">
        <v>5</v>
      </c>
      <c r="E250" s="22">
        <f t="shared" si="18"/>
        <v>3.3271289298904353E-4</v>
      </c>
      <c r="F250" s="129">
        <f t="shared" si="19"/>
        <v>4.87890977618477E-19</v>
      </c>
      <c r="G250" s="22">
        <v>3.3271289298904402E-4</v>
      </c>
      <c r="H250" s="21">
        <f t="shared" si="20"/>
        <v>9.8000000000000007</v>
      </c>
      <c r="I250" s="21">
        <v>9.8000000000000007</v>
      </c>
      <c r="J250" s="23" t="s">
        <v>24</v>
      </c>
      <c r="K250" s="23" t="s">
        <v>24</v>
      </c>
      <c r="L250" s="22">
        <v>9.8754889265890294E-3</v>
      </c>
      <c r="M250" s="134">
        <f t="shared" si="21"/>
        <v>9.8754889265890242E-3</v>
      </c>
      <c r="N250" s="231">
        <f t="shared" si="22"/>
        <v>0</v>
      </c>
    </row>
    <row r="251" spans="2:14" x14ac:dyDescent="0.45">
      <c r="B251" s="12">
        <v>7</v>
      </c>
      <c r="C251" s="111">
        <v>19</v>
      </c>
      <c r="D251" s="12">
        <v>4</v>
      </c>
      <c r="E251" s="22">
        <f t="shared" si="18"/>
        <v>8.7556024470800928E-5</v>
      </c>
      <c r="F251" s="129">
        <f t="shared" si="19"/>
        <v>0</v>
      </c>
      <c r="G251" s="22">
        <v>8.7556024470800996E-5</v>
      </c>
      <c r="H251" s="21">
        <f t="shared" si="20"/>
        <v>12.6</v>
      </c>
      <c r="I251" s="21">
        <v>12.6</v>
      </c>
      <c r="J251" s="23" t="s">
        <v>24</v>
      </c>
      <c r="K251" s="23" t="s">
        <v>24</v>
      </c>
      <c r="L251" s="22">
        <v>2.3974818965432801E-3</v>
      </c>
      <c r="M251" s="134">
        <f t="shared" si="21"/>
        <v>2.3974818965432779E-3</v>
      </c>
      <c r="N251" s="231">
        <f t="shared" si="22"/>
        <v>0</v>
      </c>
    </row>
    <row r="252" spans="2:14" x14ac:dyDescent="0.45">
      <c r="B252" s="12">
        <v>7</v>
      </c>
      <c r="C252" s="111">
        <v>20</v>
      </c>
      <c r="D252" s="12">
        <v>3</v>
      </c>
      <c r="E252" s="22">
        <f t="shared" si="18"/>
        <v>1.7511204894160184E-5</v>
      </c>
      <c r="F252" s="129">
        <f t="shared" si="19"/>
        <v>0</v>
      </c>
      <c r="G252" s="22">
        <v>1.7511204894160201E-5</v>
      </c>
      <c r="H252" s="21">
        <f t="shared" si="20"/>
        <v>15.8</v>
      </c>
      <c r="I252" s="21">
        <v>15.8</v>
      </c>
      <c r="J252" s="23" t="s">
        <v>24</v>
      </c>
      <c r="K252" s="23" t="s">
        <v>24</v>
      </c>
      <c r="L252" s="22">
        <v>4.2889407083793998E-4</v>
      </c>
      <c r="M252" s="134">
        <f t="shared" si="21"/>
        <v>4.2889407083794389E-4</v>
      </c>
      <c r="N252" s="231">
        <f t="shared" si="22"/>
        <v>-3.903127820947816E-18</v>
      </c>
    </row>
    <row r="253" spans="2:14" x14ac:dyDescent="0.45">
      <c r="B253" s="12">
        <v>7</v>
      </c>
      <c r="C253" s="111">
        <v>21</v>
      </c>
      <c r="D253" s="12">
        <v>2</v>
      </c>
      <c r="E253" s="22">
        <f t="shared" si="18"/>
        <v>2.5016006991657406E-6</v>
      </c>
      <c r="F253" s="129">
        <f t="shared" si="19"/>
        <v>0</v>
      </c>
      <c r="G253" s="22">
        <v>2.5016006991657402E-6</v>
      </c>
      <c r="H253" s="21">
        <f t="shared" si="20"/>
        <v>19.399999999999999</v>
      </c>
      <c r="I253" s="21">
        <v>19.399999999999999</v>
      </c>
      <c r="J253" s="23" t="s">
        <v>24</v>
      </c>
      <c r="K253" s="23" t="s">
        <v>24</v>
      </c>
      <c r="L253" s="22">
        <v>5.1957535038879999E-5</v>
      </c>
      <c r="M253" s="134">
        <f t="shared" si="21"/>
        <v>5.1957535038881375E-5</v>
      </c>
      <c r="N253" s="231">
        <f t="shared" si="22"/>
        <v>-1.3755815063409838E-18</v>
      </c>
    </row>
    <row r="254" spans="2:14" x14ac:dyDescent="0.45">
      <c r="B254" s="12">
        <v>7</v>
      </c>
      <c r="C254" s="111">
        <v>22</v>
      </c>
      <c r="D254" s="12">
        <v>1</v>
      </c>
      <c r="E254" s="22">
        <f t="shared" si="18"/>
        <v>2.2741824537870371E-7</v>
      </c>
      <c r="F254" s="129">
        <f t="shared" si="19"/>
        <v>2.9116757561866574E-22</v>
      </c>
      <c r="G254" s="22">
        <v>2.27418245378704E-7</v>
      </c>
      <c r="H254" s="21">
        <f t="shared" si="20"/>
        <v>23.4</v>
      </c>
      <c r="I254" s="21">
        <v>23.4</v>
      </c>
      <c r="J254" s="23" t="s">
        <v>24</v>
      </c>
      <c r="K254" s="23" t="s">
        <v>24</v>
      </c>
      <c r="L254" s="22">
        <v>3.5564339042099999E-6</v>
      </c>
      <c r="M254" s="134">
        <f t="shared" si="21"/>
        <v>3.5564339042142368E-6</v>
      </c>
      <c r="N254" s="231">
        <f t="shared" si="22"/>
        <v>-4.2368588021660103E-18</v>
      </c>
    </row>
    <row r="255" spans="2:14" x14ac:dyDescent="0.45">
      <c r="B255" s="12">
        <v>7</v>
      </c>
      <c r="C255" s="111">
        <v>23</v>
      </c>
      <c r="D255" s="195">
        <v>0</v>
      </c>
      <c r="E255" s="22">
        <f t="shared" si="18"/>
        <v>9.8877497990740741E-9</v>
      </c>
      <c r="F255" s="129">
        <f t="shared" si="19"/>
        <v>0</v>
      </c>
      <c r="G255" s="22">
        <v>9.8877497990740807E-9</v>
      </c>
      <c r="H255" s="21">
        <f t="shared" si="20"/>
        <v>27.8</v>
      </c>
      <c r="I255" s="21">
        <v>27.8</v>
      </c>
      <c r="J255" s="23" t="s">
        <v>24</v>
      </c>
      <c r="K255" s="23" t="s">
        <v>24</v>
      </c>
      <c r="L255" s="22">
        <v>5.8153183100000002E-8</v>
      </c>
      <c r="M255" s="207">
        <f>1/(((B255/10)^B255)*((C255/10)^C255))</f>
        <v>5.8153183104462032E-8</v>
      </c>
      <c r="N255" s="231">
        <f t="shared" si="22"/>
        <v>-4.4620305997927453E-18</v>
      </c>
    </row>
    <row r="256" spans="2:14" x14ac:dyDescent="0.45">
      <c r="B256" s="12">
        <v>8</v>
      </c>
      <c r="C256" s="195">
        <v>0</v>
      </c>
      <c r="D256" s="12">
        <v>22</v>
      </c>
      <c r="E256" s="22">
        <f t="shared" si="18"/>
        <v>2.8427280672337964E-8</v>
      </c>
      <c r="F256" s="129">
        <f t="shared" si="19"/>
        <v>3.6395946952333218E-23</v>
      </c>
      <c r="G256" s="22">
        <v>2.8427280672338001E-8</v>
      </c>
      <c r="H256" s="21">
        <f t="shared" si="20"/>
        <v>24.8</v>
      </c>
      <c r="I256" s="21">
        <v>24.8</v>
      </c>
      <c r="J256" s="23" t="s">
        <v>24</v>
      </c>
      <c r="K256" s="23" t="s">
        <v>24</v>
      </c>
      <c r="L256" s="22">
        <v>1.7457462827999999E-7</v>
      </c>
      <c r="M256" s="207">
        <f>1/(((B256/10)^B256)*((D256/10)^D256))</f>
        <v>1.745746282803E-7</v>
      </c>
      <c r="N256" s="231">
        <f t="shared" si="22"/>
        <v>-3.000084820056325E-19</v>
      </c>
    </row>
    <row r="257" spans="2:14" x14ac:dyDescent="0.45">
      <c r="B257" s="12">
        <v>8</v>
      </c>
      <c r="C257" s="111">
        <v>1</v>
      </c>
      <c r="D257" s="12">
        <v>21</v>
      </c>
      <c r="E257" s="22">
        <f t="shared" si="18"/>
        <v>6.2540017479143516E-7</v>
      </c>
      <c r="F257" s="129">
        <f t="shared" si="19"/>
        <v>0</v>
      </c>
      <c r="G257" s="22">
        <v>6.2540017479143505E-7</v>
      </c>
      <c r="H257" s="21">
        <f t="shared" si="20"/>
        <v>20.6</v>
      </c>
      <c r="I257" s="21">
        <v>20.6</v>
      </c>
      <c r="J257" s="23" t="s">
        <v>24</v>
      </c>
      <c r="K257" s="23" t="s">
        <v>24</v>
      </c>
      <c r="L257" s="22">
        <v>1.020175559009E-5</v>
      </c>
      <c r="M257" s="134">
        <f t="shared" si="21"/>
        <v>1.0201755590087278E-5</v>
      </c>
      <c r="N257" s="231">
        <f t="shared" si="22"/>
        <v>2.7223638924753213E-18</v>
      </c>
    </row>
    <row r="258" spans="2:14" x14ac:dyDescent="0.45">
      <c r="B258" s="12">
        <v>8</v>
      </c>
      <c r="C258" s="111">
        <v>2</v>
      </c>
      <c r="D258" s="12">
        <v>20</v>
      </c>
      <c r="E258" s="22">
        <f t="shared" si="18"/>
        <v>6.5667018353100693E-6</v>
      </c>
      <c r="F258" s="129">
        <f t="shared" si="19"/>
        <v>0</v>
      </c>
      <c r="G258" s="22">
        <v>6.5667018353100701E-6</v>
      </c>
      <c r="H258" s="21">
        <f t="shared" si="20"/>
        <v>16.8</v>
      </c>
      <c r="I258" s="21">
        <v>16.8</v>
      </c>
      <c r="J258" s="23" t="s">
        <v>24</v>
      </c>
      <c r="K258" s="23" t="s">
        <v>24</v>
      </c>
      <c r="L258" s="22">
        <v>1.4210854715202001E-4</v>
      </c>
      <c r="M258" s="134">
        <f t="shared" si="21"/>
        <v>1.4210854715201987E-4</v>
      </c>
      <c r="N258" s="231">
        <f t="shared" si="22"/>
        <v>0</v>
      </c>
    </row>
    <row r="259" spans="2:14" x14ac:dyDescent="0.45">
      <c r="B259" s="12">
        <v>8</v>
      </c>
      <c r="C259" s="111">
        <v>3</v>
      </c>
      <c r="D259" s="12">
        <v>19</v>
      </c>
      <c r="E259" s="22">
        <f t="shared" si="18"/>
        <v>4.3778012235400464E-5</v>
      </c>
      <c r="F259" s="129">
        <f t="shared" si="19"/>
        <v>0</v>
      </c>
      <c r="G259" s="22">
        <v>4.3778012235400498E-5</v>
      </c>
      <c r="H259" s="21">
        <f t="shared" si="20"/>
        <v>13.4</v>
      </c>
      <c r="I259" s="21">
        <v>13.4</v>
      </c>
      <c r="J259" s="23" t="s">
        <v>24</v>
      </c>
      <c r="K259" s="23" t="s">
        <v>24</v>
      </c>
      <c r="L259" s="22">
        <v>1.1158297127758701E-3</v>
      </c>
      <c r="M259" s="134">
        <f t="shared" si="21"/>
        <v>1.115829712775867E-3</v>
      </c>
      <c r="N259" s="231">
        <f t="shared" si="22"/>
        <v>3.0357660829594124E-18</v>
      </c>
    </row>
    <row r="260" spans="2:14" x14ac:dyDescent="0.45">
      <c r="B260" s="12">
        <v>8</v>
      </c>
      <c r="C260" s="111">
        <v>4</v>
      </c>
      <c r="D260" s="12">
        <v>18</v>
      </c>
      <c r="E260" s="22">
        <f t="shared" si="18"/>
        <v>2.0794555811815219E-4</v>
      </c>
      <c r="F260" s="129">
        <f t="shared" si="19"/>
        <v>0</v>
      </c>
      <c r="G260" s="22">
        <v>2.07945558118152E-4</v>
      </c>
      <c r="H260" s="21">
        <f t="shared" si="20"/>
        <v>10.4</v>
      </c>
      <c r="I260" s="21">
        <v>10.4</v>
      </c>
      <c r="J260" s="23" t="s">
        <v>24</v>
      </c>
      <c r="K260" s="23" t="s">
        <v>24</v>
      </c>
      <c r="L260" s="22">
        <v>5.9174561298786302E-3</v>
      </c>
      <c r="M260" s="134">
        <f t="shared" si="21"/>
        <v>5.9174561298786198E-3</v>
      </c>
      <c r="N260" s="231">
        <f t="shared" si="22"/>
        <v>1.0408340855860843E-17</v>
      </c>
    </row>
    <row r="261" spans="2:14" x14ac:dyDescent="0.45">
      <c r="B261" s="12">
        <v>8</v>
      </c>
      <c r="C261" s="111">
        <v>5</v>
      </c>
      <c r="D261" s="12">
        <v>17</v>
      </c>
      <c r="E261" s="22">
        <f t="shared" si="18"/>
        <v>7.4860400922534785E-4</v>
      </c>
      <c r="F261" s="129">
        <f t="shared" si="19"/>
        <v>0</v>
      </c>
      <c r="G261" s="22">
        <v>7.4860400922534796E-4</v>
      </c>
      <c r="H261" s="21">
        <f t="shared" si="20"/>
        <v>7.8</v>
      </c>
      <c r="I261" s="21">
        <v>7.8</v>
      </c>
      <c r="J261" s="23" t="s">
        <v>24</v>
      </c>
      <c r="K261" s="23" t="s">
        <v>24</v>
      </c>
      <c r="L261" s="22">
        <v>2.30567674313048E-2</v>
      </c>
      <c r="M261" s="134">
        <f t="shared" si="21"/>
        <v>2.3056767431304866E-2</v>
      </c>
      <c r="N261" s="231">
        <f t="shared" si="22"/>
        <v>-6.591949208711867E-17</v>
      </c>
    </row>
    <row r="262" spans="2:14" x14ac:dyDescent="0.45">
      <c r="B262" s="12">
        <v>8</v>
      </c>
      <c r="C262" s="111">
        <v>6</v>
      </c>
      <c r="D262" s="12">
        <v>16</v>
      </c>
      <c r="E262" s="22">
        <f t="shared" si="18"/>
        <v>2.1210446928051525E-3</v>
      </c>
      <c r="F262" s="129">
        <f t="shared" si="19"/>
        <v>0</v>
      </c>
      <c r="G262" s="22">
        <v>2.1210446928051499E-3</v>
      </c>
      <c r="H262" s="21">
        <f t="shared" si="20"/>
        <v>5.6</v>
      </c>
      <c r="I262" s="21">
        <v>5.6</v>
      </c>
      <c r="J262" s="23" t="s">
        <v>24</v>
      </c>
      <c r="K262" s="23" t="s">
        <v>24</v>
      </c>
      <c r="L262" s="22">
        <v>6.9255278373312398E-2</v>
      </c>
      <c r="M262" s="134">
        <f t="shared" si="21"/>
        <v>6.9255278373312246E-2</v>
      </c>
      <c r="N262" s="231">
        <f t="shared" si="22"/>
        <v>1.5265566588595902E-16</v>
      </c>
    </row>
    <row r="263" spans="2:14" x14ac:dyDescent="0.45">
      <c r="B263" s="12">
        <v>8</v>
      </c>
      <c r="C263" s="111">
        <v>7</v>
      </c>
      <c r="D263" s="12">
        <v>15</v>
      </c>
      <c r="E263" s="22">
        <f t="shared" si="18"/>
        <v>4.8481021549832051E-3</v>
      </c>
      <c r="F263" s="129">
        <f t="shared" si="19"/>
        <v>0</v>
      </c>
      <c r="G263" s="22">
        <v>4.8481021549832103E-3</v>
      </c>
      <c r="H263" s="21">
        <f t="shared" si="20"/>
        <v>3.8</v>
      </c>
      <c r="I263" s="21">
        <v>3.8</v>
      </c>
      <c r="J263" s="23" t="s">
        <v>24</v>
      </c>
      <c r="K263" s="23" t="s">
        <v>24</v>
      </c>
      <c r="L263" s="22">
        <v>0.16528176355909799</v>
      </c>
      <c r="M263" s="134">
        <f t="shared" si="21"/>
        <v>0.16528176355909846</v>
      </c>
      <c r="N263" s="231">
        <f t="shared" si="22"/>
        <v>-4.7184478546569153E-16</v>
      </c>
    </row>
    <row r="264" spans="2:14" x14ac:dyDescent="0.45">
      <c r="B264" s="12">
        <v>8</v>
      </c>
      <c r="C264" s="111">
        <v>8</v>
      </c>
      <c r="D264" s="12">
        <v>14</v>
      </c>
      <c r="E264" s="22">
        <f t="shared" si="18"/>
        <v>9.0901915405935101E-3</v>
      </c>
      <c r="F264" s="129">
        <f t="shared" si="19"/>
        <v>0</v>
      </c>
      <c r="G264" s="22">
        <v>9.0901915405935101E-3</v>
      </c>
      <c r="H264" s="21">
        <f t="shared" si="20"/>
        <v>2.4</v>
      </c>
      <c r="I264" s="21">
        <v>2.4</v>
      </c>
      <c r="J264" s="23"/>
      <c r="K264" s="23"/>
      <c r="L264" s="22">
        <v>0.31971845721234898</v>
      </c>
      <c r="M264" s="134">
        <f t="shared" si="21"/>
        <v>0.31971845721234882</v>
      </c>
      <c r="N264" s="231">
        <f t="shared" si="22"/>
        <v>0</v>
      </c>
    </row>
    <row r="265" spans="2:14" x14ac:dyDescent="0.45">
      <c r="B265" s="12">
        <v>8</v>
      </c>
      <c r="C265" s="111">
        <v>9</v>
      </c>
      <c r="D265" s="12">
        <v>13</v>
      </c>
      <c r="E265" s="22">
        <f t="shared" si="18"/>
        <v>1.4140297952034349E-2</v>
      </c>
      <c r="F265" s="129">
        <f t="shared" si="19"/>
        <v>5.2041704279304213E-17</v>
      </c>
      <c r="G265" s="22">
        <v>1.4140297952034401E-2</v>
      </c>
      <c r="H265" s="21">
        <f t="shared" si="20"/>
        <v>1.4</v>
      </c>
      <c r="I265" s="21">
        <v>1.4</v>
      </c>
      <c r="J265" s="23"/>
      <c r="K265" s="23"/>
      <c r="L265" s="22">
        <v>0.50796517513200301</v>
      </c>
      <c r="M265" s="134">
        <f t="shared" si="21"/>
        <v>0.50796517513200246</v>
      </c>
      <c r="N265" s="231">
        <f t="shared" si="22"/>
        <v>0</v>
      </c>
    </row>
    <row r="266" spans="2:14" x14ac:dyDescent="0.45">
      <c r="B266" s="12">
        <v>8</v>
      </c>
      <c r="C266" s="111">
        <v>10</v>
      </c>
      <c r="D266" s="12">
        <v>12</v>
      </c>
      <c r="E266" s="22">
        <f t="shared" si="18"/>
        <v>1.8382387337644655E-2</v>
      </c>
      <c r="F266" s="129">
        <f t="shared" si="19"/>
        <v>4.5102810375396984E-17</v>
      </c>
      <c r="G266" s="22">
        <v>1.83823873376447E-2</v>
      </c>
      <c r="H266" s="21">
        <f t="shared" si="20"/>
        <v>0.8</v>
      </c>
      <c r="I266" s="21">
        <v>0.8</v>
      </c>
      <c r="J266" s="23"/>
      <c r="K266" s="23"/>
      <c r="L266" s="22">
        <v>0.66850575676330903</v>
      </c>
      <c r="M266" s="134">
        <f t="shared" si="21"/>
        <v>0.66850575676330926</v>
      </c>
      <c r="N266" s="231">
        <f t="shared" si="22"/>
        <v>0</v>
      </c>
    </row>
    <row r="267" spans="2:14" x14ac:dyDescent="0.45">
      <c r="B267" s="12">
        <v>8</v>
      </c>
      <c r="C267" s="111">
        <v>11</v>
      </c>
      <c r="D267" s="12">
        <v>11</v>
      </c>
      <c r="E267" s="22">
        <f t="shared" si="18"/>
        <v>2.0053513459248714E-2</v>
      </c>
      <c r="F267" s="129">
        <f t="shared" si="19"/>
        <v>0</v>
      </c>
      <c r="G267" s="22">
        <v>2.00535134592487E-2</v>
      </c>
      <c r="H267" s="21">
        <f t="shared" si="20"/>
        <v>0.6</v>
      </c>
      <c r="I267" s="21">
        <v>0.6</v>
      </c>
      <c r="J267" s="23"/>
      <c r="K267" s="23"/>
      <c r="L267" s="22">
        <v>0.73221906169457696</v>
      </c>
      <c r="M267" s="134">
        <f t="shared" si="21"/>
        <v>0.73221906169457529</v>
      </c>
      <c r="N267" s="231">
        <f t="shared" si="22"/>
        <v>1.6653345369377348E-15</v>
      </c>
    </row>
    <row r="268" spans="2:14" x14ac:dyDescent="0.45">
      <c r="B268" s="12">
        <v>8</v>
      </c>
      <c r="C268" s="111">
        <v>12</v>
      </c>
      <c r="D268" s="12">
        <v>10</v>
      </c>
      <c r="E268" s="22">
        <f t="shared" si="18"/>
        <v>1.8382387337644655E-2</v>
      </c>
      <c r="F268" s="129">
        <f t="shared" si="19"/>
        <v>4.5102810375396984E-17</v>
      </c>
      <c r="G268" s="22">
        <v>1.83823873376447E-2</v>
      </c>
      <c r="H268" s="21">
        <f t="shared" si="20"/>
        <v>0.8</v>
      </c>
      <c r="I268" s="21">
        <v>0.8</v>
      </c>
      <c r="J268" s="23"/>
      <c r="K268" s="23"/>
      <c r="L268" s="22">
        <v>0.66850575676330903</v>
      </c>
      <c r="M268" s="134">
        <f t="shared" si="21"/>
        <v>0.66850575676330926</v>
      </c>
      <c r="N268" s="231">
        <f t="shared" si="22"/>
        <v>0</v>
      </c>
    </row>
    <row r="269" spans="2:14" x14ac:dyDescent="0.45">
      <c r="B269" s="12">
        <v>8</v>
      </c>
      <c r="C269" s="111">
        <v>13</v>
      </c>
      <c r="D269" s="12">
        <v>9</v>
      </c>
      <c r="E269" s="22">
        <f t="shared" si="18"/>
        <v>1.4140297952034349E-2</v>
      </c>
      <c r="F269" s="129">
        <f t="shared" si="19"/>
        <v>5.2041704279304213E-17</v>
      </c>
      <c r="G269" s="22">
        <v>1.4140297952034401E-2</v>
      </c>
      <c r="H269" s="21">
        <f t="shared" si="20"/>
        <v>1.4</v>
      </c>
      <c r="I269" s="21">
        <v>1.4</v>
      </c>
      <c r="J269" s="23"/>
      <c r="K269" s="23"/>
      <c r="L269" s="22">
        <v>0.50796517513200301</v>
      </c>
      <c r="M269" s="134">
        <f t="shared" si="21"/>
        <v>0.50796517513200246</v>
      </c>
      <c r="N269" s="231">
        <f t="shared" si="22"/>
        <v>0</v>
      </c>
    </row>
    <row r="270" spans="2:14" x14ac:dyDescent="0.45">
      <c r="B270" s="12">
        <v>8</v>
      </c>
      <c r="C270" s="111">
        <v>14</v>
      </c>
      <c r="D270" s="12">
        <v>8</v>
      </c>
      <c r="E270" s="22">
        <f t="shared" si="18"/>
        <v>9.0901915405935101E-3</v>
      </c>
      <c r="F270" s="129">
        <f t="shared" si="19"/>
        <v>0</v>
      </c>
      <c r="G270" s="22">
        <v>9.0901915405935101E-3</v>
      </c>
      <c r="H270" s="21">
        <f t="shared" si="20"/>
        <v>2.4</v>
      </c>
      <c r="I270" s="21">
        <v>2.4</v>
      </c>
      <c r="J270" s="23"/>
      <c r="K270" s="23"/>
      <c r="L270" s="22">
        <v>0.31971845721234898</v>
      </c>
      <c r="M270" s="134">
        <f t="shared" si="21"/>
        <v>0.31971845721234882</v>
      </c>
      <c r="N270" s="231">
        <f t="shared" si="22"/>
        <v>0</v>
      </c>
    </row>
    <row r="271" spans="2:14" x14ac:dyDescent="0.45">
      <c r="B271" s="12">
        <v>8</v>
      </c>
      <c r="C271" s="111">
        <v>15</v>
      </c>
      <c r="D271" s="12">
        <v>7</v>
      </c>
      <c r="E271" s="22">
        <f t="shared" si="18"/>
        <v>4.8481021549832051E-3</v>
      </c>
      <c r="F271" s="129">
        <f t="shared" si="19"/>
        <v>0</v>
      </c>
      <c r="G271" s="22">
        <v>4.8481021549832103E-3</v>
      </c>
      <c r="H271" s="21">
        <f t="shared" si="20"/>
        <v>3.8</v>
      </c>
      <c r="I271" s="21">
        <v>3.8</v>
      </c>
      <c r="J271" s="23" t="s">
        <v>24</v>
      </c>
      <c r="K271" s="23" t="s">
        <v>24</v>
      </c>
      <c r="L271" s="22">
        <v>0.16528176355909799</v>
      </c>
      <c r="M271" s="134">
        <f t="shared" si="21"/>
        <v>0.16528176355909843</v>
      </c>
      <c r="N271" s="231">
        <f t="shared" si="22"/>
        <v>-4.4408920985006262E-16</v>
      </c>
    </row>
    <row r="272" spans="2:14" x14ac:dyDescent="0.45">
      <c r="B272" s="12">
        <v>8</v>
      </c>
      <c r="C272" s="111">
        <v>16</v>
      </c>
      <c r="D272" s="12">
        <v>6</v>
      </c>
      <c r="E272" s="22">
        <f t="shared" si="18"/>
        <v>2.1210446928051525E-3</v>
      </c>
      <c r="F272" s="129">
        <f t="shared" si="19"/>
        <v>0</v>
      </c>
      <c r="G272" s="22">
        <v>2.1210446928051499E-3</v>
      </c>
      <c r="H272" s="21">
        <f t="shared" si="20"/>
        <v>5.6</v>
      </c>
      <c r="I272" s="21">
        <v>5.6</v>
      </c>
      <c r="J272" s="23" t="s">
        <v>24</v>
      </c>
      <c r="K272" s="23" t="s">
        <v>24</v>
      </c>
      <c r="L272" s="22">
        <v>6.9255278373312398E-2</v>
      </c>
      <c r="M272" s="134">
        <f t="shared" si="21"/>
        <v>6.925527837331226E-2</v>
      </c>
      <c r="N272" s="231">
        <f t="shared" si="22"/>
        <v>1.3877787807814457E-16</v>
      </c>
    </row>
    <row r="273" spans="2:14" x14ac:dyDescent="0.45">
      <c r="B273" s="12">
        <v>8</v>
      </c>
      <c r="C273" s="111">
        <v>17</v>
      </c>
      <c r="D273" s="12">
        <v>5</v>
      </c>
      <c r="E273" s="22">
        <f t="shared" si="18"/>
        <v>7.4860400922534785E-4</v>
      </c>
      <c r="F273" s="129">
        <f t="shared" si="19"/>
        <v>0</v>
      </c>
      <c r="G273" s="22">
        <v>7.4860400922534796E-4</v>
      </c>
      <c r="H273" s="21">
        <f t="shared" si="20"/>
        <v>7.8</v>
      </c>
      <c r="I273" s="21">
        <v>7.8</v>
      </c>
      <c r="J273" s="23" t="s">
        <v>24</v>
      </c>
      <c r="K273" s="23" t="s">
        <v>24</v>
      </c>
      <c r="L273" s="22">
        <v>2.30567674313048E-2</v>
      </c>
      <c r="M273" s="134">
        <f t="shared" si="21"/>
        <v>2.3056767431304866E-2</v>
      </c>
      <c r="N273" s="231">
        <f t="shared" si="22"/>
        <v>-6.591949208711867E-17</v>
      </c>
    </row>
    <row r="274" spans="2:14" x14ac:dyDescent="0.45">
      <c r="B274" s="12">
        <v>8</v>
      </c>
      <c r="C274" s="111">
        <v>18</v>
      </c>
      <c r="D274" s="12">
        <v>4</v>
      </c>
      <c r="E274" s="22">
        <f t="shared" si="18"/>
        <v>2.0794555811815219E-4</v>
      </c>
      <c r="F274" s="129">
        <f t="shared" si="19"/>
        <v>0</v>
      </c>
      <c r="G274" s="22">
        <v>2.07945558118152E-4</v>
      </c>
      <c r="H274" s="21">
        <f t="shared" si="20"/>
        <v>10.4</v>
      </c>
      <c r="I274" s="21">
        <v>10.4</v>
      </c>
      <c r="J274" s="23" t="s">
        <v>24</v>
      </c>
      <c r="K274" s="23" t="s">
        <v>24</v>
      </c>
      <c r="L274" s="22">
        <v>5.9174561298786302E-3</v>
      </c>
      <c r="M274" s="134">
        <f t="shared" si="21"/>
        <v>5.9174561298786206E-3</v>
      </c>
      <c r="N274" s="231">
        <f t="shared" si="22"/>
        <v>9.540979117872439E-18</v>
      </c>
    </row>
    <row r="275" spans="2:14" x14ac:dyDescent="0.45">
      <c r="B275" s="12">
        <v>8</v>
      </c>
      <c r="C275" s="111">
        <v>19</v>
      </c>
      <c r="D275" s="12">
        <v>3</v>
      </c>
      <c r="E275" s="22">
        <f t="shared" si="18"/>
        <v>4.3778012235400464E-5</v>
      </c>
      <c r="F275" s="129">
        <f t="shared" si="19"/>
        <v>0</v>
      </c>
      <c r="G275" s="22">
        <v>4.3778012235400498E-5</v>
      </c>
      <c r="H275" s="21">
        <f t="shared" si="20"/>
        <v>13.4</v>
      </c>
      <c r="I275" s="21">
        <v>13.4</v>
      </c>
      <c r="J275" s="23" t="s">
        <v>24</v>
      </c>
      <c r="K275" s="23" t="s">
        <v>24</v>
      </c>
      <c r="L275" s="22">
        <v>1.1158297127758701E-3</v>
      </c>
      <c r="M275" s="134">
        <f t="shared" si="21"/>
        <v>1.1158297127758668E-3</v>
      </c>
      <c r="N275" s="231">
        <f t="shared" si="22"/>
        <v>3.2526065174565133E-18</v>
      </c>
    </row>
    <row r="276" spans="2:14" x14ac:dyDescent="0.45">
      <c r="B276" s="12">
        <v>8</v>
      </c>
      <c r="C276" s="111">
        <v>20</v>
      </c>
      <c r="D276" s="12">
        <v>2</v>
      </c>
      <c r="E276" s="22">
        <f t="shared" si="18"/>
        <v>6.5667018353100693E-6</v>
      </c>
      <c r="F276" s="129">
        <f t="shared" si="19"/>
        <v>0</v>
      </c>
      <c r="G276" s="22">
        <v>6.5667018353100701E-6</v>
      </c>
      <c r="H276" s="21">
        <f t="shared" si="20"/>
        <v>16.8</v>
      </c>
      <c r="I276" s="21">
        <v>16.8</v>
      </c>
      <c r="J276" s="23" t="s">
        <v>24</v>
      </c>
      <c r="K276" s="23" t="s">
        <v>24</v>
      </c>
      <c r="L276" s="22">
        <v>1.4210854715202001E-4</v>
      </c>
      <c r="M276" s="134">
        <f t="shared" si="21"/>
        <v>1.4210854715201987E-4</v>
      </c>
      <c r="N276" s="231">
        <f t="shared" si="22"/>
        <v>0</v>
      </c>
    </row>
    <row r="277" spans="2:14" x14ac:dyDescent="0.45">
      <c r="B277" s="12">
        <v>8</v>
      </c>
      <c r="C277" s="111">
        <v>21</v>
      </c>
      <c r="D277" s="12">
        <v>1</v>
      </c>
      <c r="E277" s="22">
        <f t="shared" si="18"/>
        <v>6.2540017479143516E-7</v>
      </c>
      <c r="F277" s="129">
        <f t="shared" si="19"/>
        <v>0</v>
      </c>
      <c r="G277" s="22">
        <v>6.2540017479143505E-7</v>
      </c>
      <c r="H277" s="21">
        <f t="shared" si="20"/>
        <v>20.6</v>
      </c>
      <c r="I277" s="21">
        <v>20.6</v>
      </c>
      <c r="J277" s="23" t="s">
        <v>24</v>
      </c>
      <c r="K277" s="23" t="s">
        <v>24</v>
      </c>
      <c r="L277" s="22">
        <v>1.020175559009E-5</v>
      </c>
      <c r="M277" s="134">
        <f t="shared" si="21"/>
        <v>1.0201755590087278E-5</v>
      </c>
      <c r="N277" s="231">
        <f t="shared" si="22"/>
        <v>2.7223638924753213E-18</v>
      </c>
    </row>
    <row r="278" spans="2:14" x14ac:dyDescent="0.45">
      <c r="B278" s="12">
        <v>8</v>
      </c>
      <c r="C278" s="111">
        <v>22</v>
      </c>
      <c r="D278" s="195">
        <v>0</v>
      </c>
      <c r="E278" s="22">
        <f t="shared" si="18"/>
        <v>2.8427280672337964E-8</v>
      </c>
      <c r="F278" s="129">
        <f t="shared" si="19"/>
        <v>3.6395946952333218E-23</v>
      </c>
      <c r="G278" s="22">
        <v>2.8427280672338001E-8</v>
      </c>
      <c r="H278" s="21">
        <f t="shared" si="20"/>
        <v>24.8</v>
      </c>
      <c r="I278" s="21">
        <v>24.8</v>
      </c>
      <c r="J278" s="23" t="s">
        <v>24</v>
      </c>
      <c r="K278" s="23" t="s">
        <v>24</v>
      </c>
      <c r="L278" s="22">
        <v>1.7457462827999999E-7</v>
      </c>
      <c r="M278" s="207">
        <f>1/(((B278/10)^B278)*((C278/10)^C278))</f>
        <v>1.745746282803E-7</v>
      </c>
      <c r="N278" s="231">
        <f t="shared" si="22"/>
        <v>-3.000084820056325E-19</v>
      </c>
    </row>
    <row r="279" spans="2:14" x14ac:dyDescent="0.45">
      <c r="B279" s="12">
        <v>9</v>
      </c>
      <c r="C279" s="195">
        <v>0</v>
      </c>
      <c r="D279" s="12">
        <v>21</v>
      </c>
      <c r="E279" s="22">
        <f t="shared" si="18"/>
        <v>6.9488908310159462E-8</v>
      </c>
      <c r="F279" s="129">
        <f t="shared" si="19"/>
        <v>0</v>
      </c>
      <c r="G279" s="22">
        <v>6.9488908310159502E-8</v>
      </c>
      <c r="H279" s="21">
        <f t="shared" si="20"/>
        <v>22.2</v>
      </c>
      <c r="I279" s="21">
        <v>22.2</v>
      </c>
      <c r="J279" s="23" t="s">
        <v>24</v>
      </c>
      <c r="K279" s="23" t="s">
        <v>24</v>
      </c>
      <c r="L279" s="22">
        <v>4.4178628125000002E-7</v>
      </c>
      <c r="M279" s="207">
        <f>1/(((B279/10)^B279)*((D279/10)^D279))</f>
        <v>4.4178628124673551E-7</v>
      </c>
      <c r="N279" s="231">
        <f t="shared" si="22"/>
        <v>3.2645179182772769E-18</v>
      </c>
    </row>
    <row r="280" spans="2:14" x14ac:dyDescent="0.45">
      <c r="B280" s="12">
        <v>9</v>
      </c>
      <c r="C280" s="111">
        <v>1</v>
      </c>
      <c r="D280" s="12">
        <v>20</v>
      </c>
      <c r="E280" s="22">
        <f t="shared" si="18"/>
        <v>1.4592670745133487E-6</v>
      </c>
      <c r="F280" s="129">
        <f t="shared" si="19"/>
        <v>0</v>
      </c>
      <c r="G280" s="22">
        <v>1.45926707451335E-6</v>
      </c>
      <c r="H280" s="21">
        <f t="shared" si="20"/>
        <v>18.2</v>
      </c>
      <c r="I280" s="21">
        <v>18.2</v>
      </c>
      <c r="J280" s="23" t="s">
        <v>24</v>
      </c>
      <c r="K280" s="23" t="s">
        <v>24</v>
      </c>
      <c r="L280" s="22">
        <v>2.4616001050119999E-5</v>
      </c>
      <c r="M280" s="134">
        <f t="shared" si="21"/>
        <v>2.4616001050121269E-5</v>
      </c>
      <c r="N280" s="231">
        <f t="shared" si="22"/>
        <v>-1.2705494208814505E-18</v>
      </c>
    </row>
    <row r="281" spans="2:14" x14ac:dyDescent="0.45">
      <c r="B281" s="12">
        <v>9</v>
      </c>
      <c r="C281" s="111">
        <v>2</v>
      </c>
      <c r="D281" s="12">
        <v>19</v>
      </c>
      <c r="E281" s="22">
        <f t="shared" si="18"/>
        <v>1.4592670745133487E-5</v>
      </c>
      <c r="F281" s="129">
        <f t="shared" si="19"/>
        <v>0</v>
      </c>
      <c r="G281" s="22">
        <v>1.4592670745133499E-5</v>
      </c>
      <c r="H281" s="21">
        <f t="shared" si="20"/>
        <v>14.6</v>
      </c>
      <c r="I281" s="21">
        <v>14.6</v>
      </c>
      <c r="J281" s="23" t="s">
        <v>24</v>
      </c>
      <c r="K281" s="23" t="s">
        <v>24</v>
      </c>
      <c r="L281" s="22">
        <v>3.2616623883719001E-4</v>
      </c>
      <c r="M281" s="134">
        <f t="shared" si="21"/>
        <v>3.2616623883719305E-4</v>
      </c>
      <c r="N281" s="231">
        <f t="shared" si="22"/>
        <v>-3.0357660829594124E-18</v>
      </c>
    </row>
    <row r="282" spans="2:14" x14ac:dyDescent="0.45">
      <c r="B282" s="12">
        <v>9</v>
      </c>
      <c r="C282" s="111">
        <v>3</v>
      </c>
      <c r="D282" s="12">
        <v>18</v>
      </c>
      <c r="E282" s="22">
        <f t="shared" si="18"/>
        <v>9.2420248052512083E-5</v>
      </c>
      <c r="F282" s="129">
        <f t="shared" si="19"/>
        <v>0</v>
      </c>
      <c r="G282" s="22">
        <v>9.2420248052512097E-5</v>
      </c>
      <c r="H282" s="21">
        <f t="shared" si="20"/>
        <v>11.4</v>
      </c>
      <c r="I282" s="21">
        <v>11.4</v>
      </c>
      <c r="J282" s="23" t="s">
        <v>24</v>
      </c>
      <c r="K282" s="23" t="s">
        <v>24</v>
      </c>
      <c r="L282" s="22">
        <v>2.4296770921707002E-3</v>
      </c>
      <c r="M282" s="134">
        <f t="shared" si="21"/>
        <v>2.429677092170692E-3</v>
      </c>
      <c r="N282" s="231">
        <f t="shared" si="22"/>
        <v>8.2399365108898337E-18</v>
      </c>
    </row>
    <row r="283" spans="2:14" x14ac:dyDescent="0.45">
      <c r="B283" s="12">
        <v>9</v>
      </c>
      <c r="C283" s="111">
        <v>4</v>
      </c>
      <c r="D283" s="12">
        <v>17</v>
      </c>
      <c r="E283" s="22">
        <f t="shared" si="18"/>
        <v>4.1589111623630437E-4</v>
      </c>
      <c r="F283" s="129">
        <f t="shared" si="19"/>
        <v>6.5052130349130266E-19</v>
      </c>
      <c r="G283" s="22">
        <v>4.1589111623630502E-4</v>
      </c>
      <c r="H283" s="21">
        <f t="shared" si="20"/>
        <v>8.6</v>
      </c>
      <c r="I283" s="21">
        <v>8.6</v>
      </c>
      <c r="J283" s="23" t="s">
        <v>24</v>
      </c>
      <c r="K283" s="23" t="s">
        <v>24</v>
      </c>
      <c r="L283" s="22">
        <v>1.21883743994015E-2</v>
      </c>
      <c r="M283" s="134">
        <f t="shared" si="21"/>
        <v>1.2188374399401567E-2</v>
      </c>
      <c r="N283" s="231">
        <f t="shared" si="22"/>
        <v>-6.7654215563095477E-17</v>
      </c>
    </row>
    <row r="284" spans="2:14" x14ac:dyDescent="0.45">
      <c r="B284" s="12">
        <v>9</v>
      </c>
      <c r="C284" s="111">
        <v>5</v>
      </c>
      <c r="D284" s="12">
        <v>16</v>
      </c>
      <c r="E284" s="22">
        <f t="shared" si="18"/>
        <v>1.414029795203435E-3</v>
      </c>
      <c r="F284" s="129">
        <f t="shared" si="19"/>
        <v>4.9873299934333204E-18</v>
      </c>
      <c r="G284" s="22">
        <v>1.41402979520344E-3</v>
      </c>
      <c r="H284" s="21">
        <f t="shared" si="20"/>
        <v>6.2</v>
      </c>
      <c r="I284" s="21">
        <v>6.2</v>
      </c>
      <c r="J284" s="23" t="s">
        <v>24</v>
      </c>
      <c r="K284" s="23" t="s">
        <v>24</v>
      </c>
      <c r="L284" s="22">
        <v>4.4776245067844202E-2</v>
      </c>
      <c r="M284" s="134">
        <f t="shared" si="21"/>
        <v>4.4776245067844195E-2</v>
      </c>
      <c r="N284" s="231">
        <f t="shared" si="22"/>
        <v>0</v>
      </c>
    </row>
    <row r="285" spans="2:14" x14ac:dyDescent="0.45">
      <c r="B285" s="12">
        <v>9</v>
      </c>
      <c r="C285" s="111">
        <v>6</v>
      </c>
      <c r="D285" s="12">
        <v>15</v>
      </c>
      <c r="E285" s="22">
        <f t="shared" si="18"/>
        <v>3.7707461205424933E-3</v>
      </c>
      <c r="F285" s="129">
        <f t="shared" si="19"/>
        <v>-3.4694469519536142E-18</v>
      </c>
      <c r="G285" s="22">
        <v>3.7707461205424898E-3</v>
      </c>
      <c r="H285" s="21">
        <f t="shared" si="20"/>
        <v>4.2</v>
      </c>
      <c r="I285" s="21">
        <v>4.2</v>
      </c>
      <c r="J285" s="23" t="s">
        <v>24</v>
      </c>
      <c r="K285" s="23" t="s">
        <v>24</v>
      </c>
      <c r="L285" s="22">
        <v>0.12634004490193801</v>
      </c>
      <c r="M285" s="134">
        <f t="shared" si="21"/>
        <v>0.12634004490193854</v>
      </c>
      <c r="N285" s="231">
        <f t="shared" si="22"/>
        <v>-5.2735593669694936E-16</v>
      </c>
    </row>
    <row r="286" spans="2:14" x14ac:dyDescent="0.45">
      <c r="B286" s="12">
        <v>9</v>
      </c>
      <c r="C286" s="111">
        <v>7</v>
      </c>
      <c r="D286" s="12">
        <v>14</v>
      </c>
      <c r="E286" s="22">
        <f t="shared" si="18"/>
        <v>8.0801702583053418E-3</v>
      </c>
      <c r="F286" s="129">
        <f t="shared" si="19"/>
        <v>0</v>
      </c>
      <c r="G286" s="22">
        <v>8.0801702583053504E-3</v>
      </c>
      <c r="H286" s="21">
        <f t="shared" si="20"/>
        <v>2.6</v>
      </c>
      <c r="I286" s="21">
        <v>2.6</v>
      </c>
      <c r="J286" s="23" t="s">
        <v>27</v>
      </c>
      <c r="K286" s="23" t="s">
        <v>27</v>
      </c>
      <c r="L286" s="22">
        <v>0.282058138554733</v>
      </c>
      <c r="M286" s="134">
        <f t="shared" si="21"/>
        <v>0.28205813855473377</v>
      </c>
      <c r="N286" s="231">
        <f t="shared" si="22"/>
        <v>-7.7715611723760958E-16</v>
      </c>
    </row>
    <row r="287" spans="2:14" x14ac:dyDescent="0.45">
      <c r="B287" s="12">
        <v>9</v>
      </c>
      <c r="C287" s="111">
        <v>8</v>
      </c>
      <c r="D287" s="12">
        <v>13</v>
      </c>
      <c r="E287" s="22">
        <f t="shared" si="18"/>
        <v>1.4140297952034349E-2</v>
      </c>
      <c r="F287" s="129">
        <f t="shared" si="19"/>
        <v>5.2041704279304213E-17</v>
      </c>
      <c r="G287" s="22">
        <v>1.4140297952034401E-2</v>
      </c>
      <c r="H287" s="21">
        <f t="shared" si="20"/>
        <v>1.4</v>
      </c>
      <c r="I287" s="21">
        <v>1.4</v>
      </c>
      <c r="J287" s="23"/>
      <c r="K287" s="23"/>
      <c r="L287" s="22">
        <v>0.50796517513200301</v>
      </c>
      <c r="M287" s="134">
        <f t="shared" si="21"/>
        <v>0.50796517513200246</v>
      </c>
      <c r="N287" s="231">
        <f t="shared" si="22"/>
        <v>0</v>
      </c>
    </row>
    <row r="288" spans="2:14" x14ac:dyDescent="0.45">
      <c r="B288" s="12">
        <v>9</v>
      </c>
      <c r="C288" s="111">
        <v>9</v>
      </c>
      <c r="D288" s="12">
        <v>12</v>
      </c>
      <c r="E288" s="22">
        <f t="shared" si="18"/>
        <v>2.0424874819605171E-2</v>
      </c>
      <c r="F288" s="129">
        <f t="shared" si="19"/>
        <v>2.7755575615628914E-17</v>
      </c>
      <c r="G288" s="22">
        <v>2.0424874819605199E-2</v>
      </c>
      <c r="H288" s="21">
        <f t="shared" si="20"/>
        <v>0.6</v>
      </c>
      <c r="I288" s="21">
        <v>0.6</v>
      </c>
      <c r="J288" s="23"/>
      <c r="K288" s="23"/>
      <c r="L288" s="22">
        <v>0.74723959695618403</v>
      </c>
      <c r="M288" s="134">
        <f t="shared" si="21"/>
        <v>0.7472395969561838</v>
      </c>
      <c r="N288" s="231">
        <f t="shared" si="22"/>
        <v>0</v>
      </c>
    </row>
    <row r="289" spans="2:14" x14ac:dyDescent="0.45">
      <c r="B289" s="12">
        <v>9</v>
      </c>
      <c r="C289" s="111">
        <v>10</v>
      </c>
      <c r="D289" s="12">
        <v>11</v>
      </c>
      <c r="E289" s="22">
        <f t="shared" si="18"/>
        <v>2.4509849783526206E-2</v>
      </c>
      <c r="F289" s="129">
        <f t="shared" si="19"/>
        <v>0</v>
      </c>
      <c r="G289" s="22">
        <v>2.4509849783526199E-2</v>
      </c>
      <c r="H289" s="21">
        <f t="shared" si="20"/>
        <v>0.2</v>
      </c>
      <c r="I289" s="21">
        <v>0.2</v>
      </c>
      <c r="J289" s="23"/>
      <c r="K289" s="23"/>
      <c r="L289" s="22">
        <v>0.90468601799062898</v>
      </c>
      <c r="M289" s="134">
        <f t="shared" si="21"/>
        <v>0.90468601799062842</v>
      </c>
      <c r="N289" s="231">
        <f t="shared" si="22"/>
        <v>0</v>
      </c>
    </row>
    <row r="290" spans="2:14" x14ac:dyDescent="0.45">
      <c r="B290" s="12">
        <v>9</v>
      </c>
      <c r="C290" s="111">
        <v>11</v>
      </c>
      <c r="D290" s="12">
        <v>10</v>
      </c>
      <c r="E290" s="22">
        <f t="shared" si="18"/>
        <v>2.4509849783526206E-2</v>
      </c>
      <c r="F290" s="129">
        <f t="shared" si="19"/>
        <v>0</v>
      </c>
      <c r="G290" s="22">
        <v>2.4509849783526199E-2</v>
      </c>
      <c r="H290" s="21">
        <f t="shared" si="20"/>
        <v>0.2</v>
      </c>
      <c r="I290" s="21">
        <v>0.2</v>
      </c>
      <c r="J290" s="23"/>
      <c r="K290" s="23"/>
      <c r="L290" s="22">
        <v>0.90468601799062898</v>
      </c>
      <c r="M290" s="134">
        <f t="shared" si="21"/>
        <v>0.90468601799062842</v>
      </c>
      <c r="N290" s="231">
        <f t="shared" si="22"/>
        <v>0</v>
      </c>
    </row>
    <row r="291" spans="2:14" x14ac:dyDescent="0.45">
      <c r="B291" s="12">
        <v>9</v>
      </c>
      <c r="C291" s="111">
        <v>12</v>
      </c>
      <c r="D291" s="12">
        <v>9</v>
      </c>
      <c r="E291" s="22">
        <f t="shared" si="18"/>
        <v>2.0424874819605171E-2</v>
      </c>
      <c r="F291" s="129">
        <f t="shared" si="19"/>
        <v>2.7755575615628914E-17</v>
      </c>
      <c r="G291" s="22">
        <v>2.0424874819605199E-2</v>
      </c>
      <c r="H291" s="21">
        <f t="shared" si="20"/>
        <v>0.6</v>
      </c>
      <c r="I291" s="21">
        <v>0.6</v>
      </c>
      <c r="J291" s="23"/>
      <c r="K291" s="23"/>
      <c r="L291" s="22">
        <v>0.74723959695618403</v>
      </c>
      <c r="M291" s="134">
        <f t="shared" si="21"/>
        <v>0.7472395969561838</v>
      </c>
      <c r="N291" s="231">
        <f t="shared" si="22"/>
        <v>0</v>
      </c>
    </row>
    <row r="292" spans="2:14" x14ac:dyDescent="0.45">
      <c r="B292" s="12">
        <v>9</v>
      </c>
      <c r="C292" s="111">
        <v>13</v>
      </c>
      <c r="D292" s="12">
        <v>8</v>
      </c>
      <c r="E292" s="22">
        <f t="shared" si="18"/>
        <v>1.4140297952034349E-2</v>
      </c>
      <c r="F292" s="129">
        <f t="shared" si="19"/>
        <v>5.2041704279304213E-17</v>
      </c>
      <c r="G292" s="22">
        <v>1.4140297952034401E-2</v>
      </c>
      <c r="H292" s="21">
        <f t="shared" si="20"/>
        <v>1.4</v>
      </c>
      <c r="I292" s="21">
        <v>1.4</v>
      </c>
      <c r="J292" s="23"/>
      <c r="K292" s="23"/>
      <c r="L292" s="22">
        <v>0.50796517513200301</v>
      </c>
      <c r="M292" s="134">
        <f t="shared" si="21"/>
        <v>0.50796517513200246</v>
      </c>
      <c r="N292" s="231">
        <f t="shared" si="22"/>
        <v>0</v>
      </c>
    </row>
    <row r="293" spans="2:14" x14ac:dyDescent="0.45">
      <c r="B293" s="12">
        <v>9</v>
      </c>
      <c r="C293" s="111">
        <v>14</v>
      </c>
      <c r="D293" s="12">
        <v>7</v>
      </c>
      <c r="E293" s="22">
        <f t="shared" ref="E293:E356" si="23">$E$36*FACT(30)/(FACT(B293)*FACT(C293)*FACT(D293))</f>
        <v>8.0801702583053418E-3</v>
      </c>
      <c r="F293" s="129">
        <f t="shared" ref="F293:F356" si="24">G293-E293</f>
        <v>0</v>
      </c>
      <c r="G293" s="22">
        <v>8.0801702583053504E-3</v>
      </c>
      <c r="H293" s="21">
        <f t="shared" ref="H293:H356" si="25">(((B293-10))^2+((C293-10))^2+((D293-10))^2)/10</f>
        <v>2.6</v>
      </c>
      <c r="I293" s="21">
        <v>2.6</v>
      </c>
      <c r="J293" s="23" t="s">
        <v>27</v>
      </c>
      <c r="K293" s="23" t="s">
        <v>27</v>
      </c>
      <c r="L293" s="22">
        <v>0.282058138554733</v>
      </c>
      <c r="M293" s="134">
        <f t="shared" ref="M293:M356" si="26">1/(((B293/10)^B293)*((C293/10)^C293)*((D293/10)^D293))</f>
        <v>0.28205813855473377</v>
      </c>
      <c r="N293" s="231">
        <f t="shared" ref="N293:N356" si="27">L293-M293</f>
        <v>-7.7715611723760958E-16</v>
      </c>
    </row>
    <row r="294" spans="2:14" x14ac:dyDescent="0.45">
      <c r="B294" s="12">
        <v>9</v>
      </c>
      <c r="C294" s="111">
        <v>15</v>
      </c>
      <c r="D294" s="12">
        <v>6</v>
      </c>
      <c r="E294" s="22">
        <f t="shared" si="23"/>
        <v>3.7707461205424933E-3</v>
      </c>
      <c r="F294" s="129">
        <f t="shared" si="24"/>
        <v>-3.4694469519536142E-18</v>
      </c>
      <c r="G294" s="22">
        <v>3.7707461205424898E-3</v>
      </c>
      <c r="H294" s="21">
        <f t="shared" si="25"/>
        <v>4.2</v>
      </c>
      <c r="I294" s="21">
        <v>4.2</v>
      </c>
      <c r="J294" s="23" t="s">
        <v>24</v>
      </c>
      <c r="K294" s="23" t="s">
        <v>24</v>
      </c>
      <c r="L294" s="22">
        <v>0.12634004490193801</v>
      </c>
      <c r="M294" s="134">
        <f t="shared" si="26"/>
        <v>0.12634004490193854</v>
      </c>
      <c r="N294" s="231">
        <f t="shared" si="27"/>
        <v>-5.2735593669694936E-16</v>
      </c>
    </row>
    <row r="295" spans="2:14" x14ac:dyDescent="0.45">
      <c r="B295" s="12">
        <v>9</v>
      </c>
      <c r="C295" s="111">
        <v>16</v>
      </c>
      <c r="D295" s="12">
        <v>5</v>
      </c>
      <c r="E295" s="22">
        <f t="shared" si="23"/>
        <v>1.414029795203435E-3</v>
      </c>
      <c r="F295" s="129">
        <f t="shared" si="24"/>
        <v>4.9873299934333204E-18</v>
      </c>
      <c r="G295" s="22">
        <v>1.41402979520344E-3</v>
      </c>
      <c r="H295" s="21">
        <f t="shared" si="25"/>
        <v>6.2</v>
      </c>
      <c r="I295" s="21">
        <v>6.2</v>
      </c>
      <c r="J295" s="23" t="s">
        <v>24</v>
      </c>
      <c r="K295" s="23" t="s">
        <v>24</v>
      </c>
      <c r="L295" s="22">
        <v>4.4776245067844202E-2</v>
      </c>
      <c r="M295" s="134">
        <f t="shared" si="26"/>
        <v>4.4776245067844195E-2</v>
      </c>
      <c r="N295" s="231">
        <f t="shared" si="27"/>
        <v>0</v>
      </c>
    </row>
    <row r="296" spans="2:14" x14ac:dyDescent="0.45">
      <c r="B296" s="12">
        <v>9</v>
      </c>
      <c r="C296" s="111">
        <v>17</v>
      </c>
      <c r="D296" s="12">
        <v>4</v>
      </c>
      <c r="E296" s="22">
        <f t="shared" si="23"/>
        <v>4.1589111623630437E-4</v>
      </c>
      <c r="F296" s="129">
        <f t="shared" si="24"/>
        <v>6.5052130349130266E-19</v>
      </c>
      <c r="G296" s="22">
        <v>4.1589111623630502E-4</v>
      </c>
      <c r="H296" s="21">
        <f t="shared" si="25"/>
        <v>8.6</v>
      </c>
      <c r="I296" s="21">
        <v>8.6</v>
      </c>
      <c r="J296" s="23" t="s">
        <v>24</v>
      </c>
      <c r="K296" s="23" t="s">
        <v>24</v>
      </c>
      <c r="L296" s="22">
        <v>1.21883743994015E-2</v>
      </c>
      <c r="M296" s="134">
        <f t="shared" si="26"/>
        <v>1.2188374399401567E-2</v>
      </c>
      <c r="N296" s="231">
        <f t="shared" si="27"/>
        <v>-6.7654215563095477E-17</v>
      </c>
    </row>
    <row r="297" spans="2:14" x14ac:dyDescent="0.45">
      <c r="B297" s="12">
        <v>9</v>
      </c>
      <c r="C297" s="111">
        <v>18</v>
      </c>
      <c r="D297" s="12">
        <v>3</v>
      </c>
      <c r="E297" s="22">
        <f t="shared" si="23"/>
        <v>9.2420248052512083E-5</v>
      </c>
      <c r="F297" s="129">
        <f t="shared" si="24"/>
        <v>0</v>
      </c>
      <c r="G297" s="22">
        <v>9.2420248052512097E-5</v>
      </c>
      <c r="H297" s="21">
        <f t="shared" si="25"/>
        <v>11.4</v>
      </c>
      <c r="I297" s="21">
        <v>11.4</v>
      </c>
      <c r="J297" s="23" t="s">
        <v>24</v>
      </c>
      <c r="K297" s="23" t="s">
        <v>24</v>
      </c>
      <c r="L297" s="22">
        <v>2.4296770921707002E-3</v>
      </c>
      <c r="M297" s="134">
        <f t="shared" si="26"/>
        <v>2.4296770921706924E-3</v>
      </c>
      <c r="N297" s="231">
        <f t="shared" si="27"/>
        <v>7.8062556418956319E-18</v>
      </c>
    </row>
    <row r="298" spans="2:14" x14ac:dyDescent="0.45">
      <c r="B298" s="12">
        <v>9</v>
      </c>
      <c r="C298" s="111">
        <v>19</v>
      </c>
      <c r="D298" s="12">
        <v>2</v>
      </c>
      <c r="E298" s="22">
        <f t="shared" si="23"/>
        <v>1.4592670745133487E-5</v>
      </c>
      <c r="F298" s="129">
        <f t="shared" si="24"/>
        <v>0</v>
      </c>
      <c r="G298" s="22">
        <v>1.4592670745133499E-5</v>
      </c>
      <c r="H298" s="21">
        <f t="shared" si="25"/>
        <v>14.6</v>
      </c>
      <c r="I298" s="21">
        <v>14.6</v>
      </c>
      <c r="J298" s="23" t="s">
        <v>24</v>
      </c>
      <c r="K298" s="23" t="s">
        <v>24</v>
      </c>
      <c r="L298" s="22">
        <v>3.2616623883719001E-4</v>
      </c>
      <c r="M298" s="134">
        <f t="shared" si="26"/>
        <v>3.2616623883719305E-4</v>
      </c>
      <c r="N298" s="231">
        <f t="shared" si="27"/>
        <v>-3.0357660829594124E-18</v>
      </c>
    </row>
    <row r="299" spans="2:14" x14ac:dyDescent="0.45">
      <c r="B299" s="12">
        <v>9</v>
      </c>
      <c r="C299" s="111">
        <v>20</v>
      </c>
      <c r="D299" s="12">
        <v>1</v>
      </c>
      <c r="E299" s="22">
        <f t="shared" si="23"/>
        <v>1.4592670745133487E-6</v>
      </c>
      <c r="F299" s="129">
        <f t="shared" si="24"/>
        <v>0</v>
      </c>
      <c r="G299" s="22">
        <v>1.45926707451335E-6</v>
      </c>
      <c r="H299" s="21">
        <f t="shared" si="25"/>
        <v>18.2</v>
      </c>
      <c r="I299" s="21">
        <v>18.2</v>
      </c>
      <c r="J299" s="23" t="s">
        <v>24</v>
      </c>
      <c r="K299" s="23" t="s">
        <v>24</v>
      </c>
      <c r="L299" s="22">
        <v>2.4616001050119999E-5</v>
      </c>
      <c r="M299" s="134">
        <f t="shared" si="26"/>
        <v>2.4616001050121269E-5</v>
      </c>
      <c r="N299" s="231">
        <f t="shared" si="27"/>
        <v>-1.2705494208814505E-18</v>
      </c>
    </row>
    <row r="300" spans="2:14" x14ac:dyDescent="0.45">
      <c r="B300" s="12">
        <v>9</v>
      </c>
      <c r="C300" s="111">
        <v>21</v>
      </c>
      <c r="D300" s="195">
        <v>0</v>
      </c>
      <c r="E300" s="22">
        <f t="shared" si="23"/>
        <v>6.9488908310159462E-8</v>
      </c>
      <c r="F300" s="129">
        <f t="shared" si="24"/>
        <v>0</v>
      </c>
      <c r="G300" s="22">
        <v>6.9488908310159502E-8</v>
      </c>
      <c r="H300" s="21">
        <f t="shared" si="25"/>
        <v>22.2</v>
      </c>
      <c r="I300" s="21">
        <v>22.2</v>
      </c>
      <c r="J300" s="23" t="s">
        <v>24</v>
      </c>
      <c r="K300" s="23" t="s">
        <v>24</v>
      </c>
      <c r="L300" s="22">
        <v>4.4178628125000002E-7</v>
      </c>
      <c r="M300" s="207">
        <f>1/(((B300/10)^B300)*((C300/10)^C300))</f>
        <v>4.4178628124673551E-7</v>
      </c>
      <c r="N300" s="231">
        <f t="shared" si="27"/>
        <v>3.2645179182772769E-18</v>
      </c>
    </row>
    <row r="301" spans="2:14" x14ac:dyDescent="0.45">
      <c r="B301" s="12">
        <v>10</v>
      </c>
      <c r="C301" s="195">
        <v>0</v>
      </c>
      <c r="D301" s="12">
        <v>20</v>
      </c>
      <c r="E301" s="22">
        <f t="shared" si="23"/>
        <v>1.4592670745133486E-7</v>
      </c>
      <c r="F301" s="129">
        <f t="shared" si="24"/>
        <v>0</v>
      </c>
      <c r="G301" s="22">
        <v>1.45926707451335E-7</v>
      </c>
      <c r="H301" s="21">
        <f t="shared" si="25"/>
        <v>20</v>
      </c>
      <c r="I301" s="21">
        <v>20</v>
      </c>
      <c r="J301" s="23" t="s">
        <v>24</v>
      </c>
      <c r="K301" s="23" t="s">
        <v>24</v>
      </c>
      <c r="L301" s="22">
        <v>9.5367431641000003E-7</v>
      </c>
      <c r="M301" s="207">
        <f>1/(((B301/10)^B301)*((D301/10)^D301))</f>
        <v>9.5367431640625E-7</v>
      </c>
      <c r="N301" s="231">
        <f t="shared" si="27"/>
        <v>3.7500266157316012E-18</v>
      </c>
    </row>
    <row r="302" spans="2:14" x14ac:dyDescent="0.45">
      <c r="B302" s="12">
        <v>10</v>
      </c>
      <c r="C302" s="111">
        <v>1</v>
      </c>
      <c r="D302" s="12">
        <v>19</v>
      </c>
      <c r="E302" s="22">
        <f t="shared" si="23"/>
        <v>2.9185341490266974E-6</v>
      </c>
      <c r="F302" s="129">
        <f t="shared" si="24"/>
        <v>0</v>
      </c>
      <c r="G302" s="22">
        <v>2.9185341490266999E-6</v>
      </c>
      <c r="H302" s="21">
        <f t="shared" si="25"/>
        <v>16.2</v>
      </c>
      <c r="I302" s="21">
        <v>16.2</v>
      </c>
      <c r="J302" s="23" t="s">
        <v>24</v>
      </c>
      <c r="K302" s="23" t="s">
        <v>24</v>
      </c>
      <c r="L302" s="22">
        <v>5.0545393498239999E-5</v>
      </c>
      <c r="M302" s="134">
        <f t="shared" si="26"/>
        <v>5.0545393498238474E-5</v>
      </c>
      <c r="N302" s="231">
        <f t="shared" si="27"/>
        <v>1.5246593050577406E-18</v>
      </c>
    </row>
    <row r="303" spans="2:14" x14ac:dyDescent="0.45">
      <c r="B303" s="12">
        <v>10</v>
      </c>
      <c r="C303" s="111">
        <v>2</v>
      </c>
      <c r="D303" s="12">
        <v>18</v>
      </c>
      <c r="E303" s="22">
        <f t="shared" si="23"/>
        <v>2.7726074415753628E-5</v>
      </c>
      <c r="F303" s="129">
        <f t="shared" si="24"/>
        <v>-2.7105054312137611E-20</v>
      </c>
      <c r="G303" s="22">
        <v>2.7726074415753601E-5</v>
      </c>
      <c r="H303" s="21">
        <f t="shared" si="25"/>
        <v>12.8</v>
      </c>
      <c r="I303" s="21">
        <v>12.8</v>
      </c>
      <c r="J303" s="23" t="s">
        <v>24</v>
      </c>
      <c r="K303" s="23" t="s">
        <v>24</v>
      </c>
      <c r="L303" s="22">
        <v>6.3538201383358996E-4</v>
      </c>
      <c r="M303" s="134">
        <f t="shared" si="26"/>
        <v>6.3538201383358584E-4</v>
      </c>
      <c r="N303" s="231">
        <f t="shared" si="27"/>
        <v>4.1199682554449168E-18</v>
      </c>
    </row>
    <row r="304" spans="2:14" x14ac:dyDescent="0.45">
      <c r="B304" s="12">
        <v>10</v>
      </c>
      <c r="C304" s="111">
        <v>3</v>
      </c>
      <c r="D304" s="12">
        <v>17</v>
      </c>
      <c r="E304" s="22">
        <f t="shared" si="23"/>
        <v>1.6635644649452177E-4</v>
      </c>
      <c r="F304" s="129">
        <f t="shared" si="24"/>
        <v>2.439454888092385E-19</v>
      </c>
      <c r="G304" s="22">
        <v>1.6635644649452201E-4</v>
      </c>
      <c r="H304" s="21">
        <f t="shared" si="25"/>
        <v>9.8000000000000007</v>
      </c>
      <c r="I304" s="21">
        <v>9.8000000000000007</v>
      </c>
      <c r="J304" s="23" t="s">
        <v>24</v>
      </c>
      <c r="K304" s="23" t="s">
        <v>24</v>
      </c>
      <c r="L304" s="22">
        <v>4.4771801788977697E-3</v>
      </c>
      <c r="M304" s="134">
        <f t="shared" si="26"/>
        <v>4.4771801788977689E-3</v>
      </c>
      <c r="N304" s="231">
        <f t="shared" si="27"/>
        <v>0</v>
      </c>
    </row>
    <row r="305" spans="2:14" x14ac:dyDescent="0.45">
      <c r="B305" s="12">
        <v>10</v>
      </c>
      <c r="C305" s="111">
        <v>4</v>
      </c>
      <c r="D305" s="12">
        <v>16</v>
      </c>
      <c r="E305" s="22">
        <f t="shared" si="23"/>
        <v>7.0701489760171751E-4</v>
      </c>
      <c r="F305" s="129">
        <f t="shared" si="24"/>
        <v>0</v>
      </c>
      <c r="G305" s="22">
        <v>7.0701489760171795E-4</v>
      </c>
      <c r="H305" s="21">
        <f t="shared" si="25"/>
        <v>7.2</v>
      </c>
      <c r="I305" s="21">
        <v>7.2</v>
      </c>
      <c r="J305" s="23" t="s">
        <v>24</v>
      </c>
      <c r="K305" s="23" t="s">
        <v>24</v>
      </c>
      <c r="L305" s="22">
        <v>2.1175823681357502E-2</v>
      </c>
      <c r="M305" s="134">
        <f t="shared" si="26"/>
        <v>2.1175823681357463E-2</v>
      </c>
      <c r="N305" s="231">
        <f t="shared" si="27"/>
        <v>3.8163916471489756E-17</v>
      </c>
    </row>
    <row r="306" spans="2:14" x14ac:dyDescent="0.45">
      <c r="B306" s="12">
        <v>10</v>
      </c>
      <c r="C306" s="111">
        <v>5</v>
      </c>
      <c r="D306" s="12">
        <v>15</v>
      </c>
      <c r="E306" s="22">
        <f t="shared" si="23"/>
        <v>2.262447672325496E-3</v>
      </c>
      <c r="F306" s="129">
        <f t="shared" si="24"/>
        <v>3.903127820947816E-18</v>
      </c>
      <c r="G306" s="22">
        <v>2.2624476723254999E-3</v>
      </c>
      <c r="H306" s="21">
        <f t="shared" si="25"/>
        <v>5</v>
      </c>
      <c r="I306" s="21">
        <v>5</v>
      </c>
      <c r="J306" s="23" t="s">
        <v>24</v>
      </c>
      <c r="K306" s="23" t="s">
        <v>24</v>
      </c>
      <c r="L306" s="22">
        <v>7.3077064336677294E-2</v>
      </c>
      <c r="M306" s="134">
        <f t="shared" si="26"/>
        <v>7.307706433667735E-2</v>
      </c>
      <c r="N306" s="231">
        <f t="shared" si="27"/>
        <v>0</v>
      </c>
    </row>
    <row r="307" spans="2:14" x14ac:dyDescent="0.45">
      <c r="B307" s="12">
        <v>10</v>
      </c>
      <c r="C307" s="111">
        <v>6</v>
      </c>
      <c r="D307" s="12">
        <v>14</v>
      </c>
      <c r="E307" s="22">
        <f t="shared" si="23"/>
        <v>5.6561191808137401E-3</v>
      </c>
      <c r="F307" s="129">
        <f t="shared" si="24"/>
        <v>0</v>
      </c>
      <c r="G307" s="22">
        <v>5.6561191808137401E-3</v>
      </c>
      <c r="H307" s="21">
        <f t="shared" si="25"/>
        <v>3.2</v>
      </c>
      <c r="I307" s="21">
        <v>3.2</v>
      </c>
      <c r="J307" s="23" t="s">
        <v>24</v>
      </c>
      <c r="K307" s="23" t="s">
        <v>24</v>
      </c>
      <c r="L307" s="22">
        <v>0.192885685223364</v>
      </c>
      <c r="M307" s="134">
        <f t="shared" si="26"/>
        <v>0.19288568522336444</v>
      </c>
      <c r="N307" s="231">
        <f t="shared" si="27"/>
        <v>-4.4408920985006262E-16</v>
      </c>
    </row>
    <row r="308" spans="2:14" x14ac:dyDescent="0.45">
      <c r="B308" s="12">
        <v>10</v>
      </c>
      <c r="C308" s="111">
        <v>7</v>
      </c>
      <c r="D308" s="12">
        <v>13</v>
      </c>
      <c r="E308" s="22">
        <f t="shared" si="23"/>
        <v>1.131223836162748E-2</v>
      </c>
      <c r="F308" s="129">
        <f t="shared" si="24"/>
        <v>1.9081958235744878E-17</v>
      </c>
      <c r="G308" s="22">
        <v>1.1312238361627499E-2</v>
      </c>
      <c r="H308" s="21">
        <f t="shared" si="25"/>
        <v>1.8</v>
      </c>
      <c r="I308" s="21">
        <v>1.8</v>
      </c>
      <c r="J308" s="23"/>
      <c r="K308" s="23"/>
      <c r="L308" s="22">
        <v>0.40091300092771298</v>
      </c>
      <c r="M308" s="134">
        <f t="shared" si="26"/>
        <v>0.40091300092771343</v>
      </c>
      <c r="N308" s="231">
        <f t="shared" si="27"/>
        <v>-4.4408920985006262E-16</v>
      </c>
    </row>
    <row r="309" spans="2:14" x14ac:dyDescent="0.45">
      <c r="B309" s="12">
        <v>10</v>
      </c>
      <c r="C309" s="111">
        <v>8</v>
      </c>
      <c r="D309" s="12">
        <v>12</v>
      </c>
      <c r="E309" s="22">
        <f t="shared" si="23"/>
        <v>1.8382387337644655E-2</v>
      </c>
      <c r="F309" s="129">
        <f t="shared" si="24"/>
        <v>4.5102810375396984E-17</v>
      </c>
      <c r="G309" s="22">
        <v>1.83823873376447E-2</v>
      </c>
      <c r="H309" s="21">
        <f t="shared" si="25"/>
        <v>0.8</v>
      </c>
      <c r="I309" s="21">
        <v>0.8</v>
      </c>
      <c r="J309" s="23"/>
      <c r="K309" s="23"/>
      <c r="L309" s="22">
        <v>0.66850575676330903</v>
      </c>
      <c r="M309" s="134">
        <f t="shared" si="26"/>
        <v>0.66850575676330926</v>
      </c>
      <c r="N309" s="231">
        <f t="shared" si="27"/>
        <v>0</v>
      </c>
    </row>
    <row r="310" spans="2:14" x14ac:dyDescent="0.45">
      <c r="B310" s="12">
        <v>10</v>
      </c>
      <c r="C310" s="111">
        <v>9</v>
      </c>
      <c r="D310" s="12">
        <v>11</v>
      </c>
      <c r="E310" s="22">
        <f t="shared" si="23"/>
        <v>2.4509849783526206E-2</v>
      </c>
      <c r="F310" s="129">
        <f t="shared" si="24"/>
        <v>0</v>
      </c>
      <c r="G310" s="22">
        <v>2.4509849783526199E-2</v>
      </c>
      <c r="H310" s="21">
        <f t="shared" si="25"/>
        <v>0.2</v>
      </c>
      <c r="I310" s="21">
        <v>0.2</v>
      </c>
      <c r="J310" s="23"/>
      <c r="K310" s="23"/>
      <c r="L310" s="22">
        <v>0.90468601799062898</v>
      </c>
      <c r="M310" s="134">
        <f t="shared" si="26"/>
        <v>0.90468601799062842</v>
      </c>
      <c r="N310" s="231">
        <f t="shared" si="27"/>
        <v>0</v>
      </c>
    </row>
    <row r="311" spans="2:14" x14ac:dyDescent="0.45">
      <c r="B311" s="12">
        <v>10</v>
      </c>
      <c r="C311" s="111">
        <v>10</v>
      </c>
      <c r="D311" s="12">
        <v>10</v>
      </c>
      <c r="E311" s="22">
        <f t="shared" si="23"/>
        <v>2.6960834761878827E-2</v>
      </c>
      <c r="F311" s="129">
        <f t="shared" si="24"/>
        <v>-2.7755575615628914E-17</v>
      </c>
      <c r="G311" s="22">
        <v>2.6960834761878799E-2</v>
      </c>
      <c r="H311" s="21">
        <f t="shared" si="25"/>
        <v>0</v>
      </c>
      <c r="I311" s="21">
        <v>0</v>
      </c>
      <c r="J311" s="23"/>
      <c r="K311" s="23"/>
      <c r="L311" s="22">
        <v>1</v>
      </c>
      <c r="M311" s="134">
        <f t="shared" si="26"/>
        <v>1</v>
      </c>
      <c r="N311" s="231">
        <f t="shared" si="27"/>
        <v>0</v>
      </c>
    </row>
    <row r="312" spans="2:14" x14ac:dyDescent="0.45">
      <c r="B312" s="12">
        <v>10</v>
      </c>
      <c r="C312" s="111">
        <v>11</v>
      </c>
      <c r="D312" s="12">
        <v>9</v>
      </c>
      <c r="E312" s="22">
        <f t="shared" si="23"/>
        <v>2.4509849783526206E-2</v>
      </c>
      <c r="F312" s="129">
        <f t="shared" si="24"/>
        <v>0</v>
      </c>
      <c r="G312" s="22">
        <v>2.4509849783526199E-2</v>
      </c>
      <c r="H312" s="21">
        <f t="shared" si="25"/>
        <v>0.2</v>
      </c>
      <c r="I312" s="21">
        <v>0.2</v>
      </c>
      <c r="J312" s="23"/>
      <c r="K312" s="23"/>
      <c r="L312" s="22">
        <v>0.90468601799062898</v>
      </c>
      <c r="M312" s="134">
        <f t="shared" si="26"/>
        <v>0.90468601799062842</v>
      </c>
      <c r="N312" s="231">
        <f t="shared" si="27"/>
        <v>0</v>
      </c>
    </row>
    <row r="313" spans="2:14" x14ac:dyDescent="0.45">
      <c r="B313" s="12">
        <v>10</v>
      </c>
      <c r="C313" s="111">
        <v>12</v>
      </c>
      <c r="D313" s="12">
        <v>8</v>
      </c>
      <c r="E313" s="22">
        <f t="shared" si="23"/>
        <v>1.8382387337644655E-2</v>
      </c>
      <c r="F313" s="129">
        <f t="shared" si="24"/>
        <v>4.5102810375396984E-17</v>
      </c>
      <c r="G313" s="22">
        <v>1.83823873376447E-2</v>
      </c>
      <c r="H313" s="21">
        <f t="shared" si="25"/>
        <v>0.8</v>
      </c>
      <c r="I313" s="21">
        <v>0.8</v>
      </c>
      <c r="J313" s="23"/>
      <c r="K313" s="23"/>
      <c r="L313" s="22">
        <v>0.66850575676330903</v>
      </c>
      <c r="M313" s="134">
        <f t="shared" si="26"/>
        <v>0.66850575676330926</v>
      </c>
      <c r="N313" s="231">
        <f t="shared" si="27"/>
        <v>0</v>
      </c>
    </row>
    <row r="314" spans="2:14" x14ac:dyDescent="0.45">
      <c r="B314" s="12">
        <v>10</v>
      </c>
      <c r="C314" s="111">
        <v>13</v>
      </c>
      <c r="D314" s="12">
        <v>7</v>
      </c>
      <c r="E314" s="22">
        <f t="shared" si="23"/>
        <v>1.131223836162748E-2</v>
      </c>
      <c r="F314" s="129">
        <f t="shared" si="24"/>
        <v>1.9081958235744878E-17</v>
      </c>
      <c r="G314" s="22">
        <v>1.1312238361627499E-2</v>
      </c>
      <c r="H314" s="21">
        <f t="shared" si="25"/>
        <v>1.8</v>
      </c>
      <c r="I314" s="21">
        <v>1.8</v>
      </c>
      <c r="J314" s="23"/>
      <c r="K314" s="23"/>
      <c r="L314" s="22">
        <v>0.40091300092771298</v>
      </c>
      <c r="M314" s="134">
        <f t="shared" si="26"/>
        <v>0.40091300092771343</v>
      </c>
      <c r="N314" s="231">
        <f t="shared" si="27"/>
        <v>-4.4408920985006262E-16</v>
      </c>
    </row>
    <row r="315" spans="2:14" x14ac:dyDescent="0.45">
      <c r="B315" s="12">
        <v>10</v>
      </c>
      <c r="C315" s="111">
        <v>14</v>
      </c>
      <c r="D315" s="12">
        <v>6</v>
      </c>
      <c r="E315" s="22">
        <f t="shared" si="23"/>
        <v>5.6561191808137401E-3</v>
      </c>
      <c r="F315" s="129">
        <f t="shared" si="24"/>
        <v>0</v>
      </c>
      <c r="G315" s="22">
        <v>5.6561191808137401E-3</v>
      </c>
      <c r="H315" s="21">
        <f t="shared" si="25"/>
        <v>3.2</v>
      </c>
      <c r="I315" s="21">
        <v>3.2</v>
      </c>
      <c r="J315" s="23" t="s">
        <v>24</v>
      </c>
      <c r="K315" s="23" t="s">
        <v>24</v>
      </c>
      <c r="L315" s="22">
        <v>0.192885685223364</v>
      </c>
      <c r="M315" s="134">
        <f t="shared" si="26"/>
        <v>0.19288568522336444</v>
      </c>
      <c r="N315" s="231">
        <f t="shared" si="27"/>
        <v>-4.4408920985006262E-16</v>
      </c>
    </row>
    <row r="316" spans="2:14" x14ac:dyDescent="0.45">
      <c r="B316" s="12">
        <v>10</v>
      </c>
      <c r="C316" s="111">
        <v>15</v>
      </c>
      <c r="D316" s="12">
        <v>5</v>
      </c>
      <c r="E316" s="22">
        <f t="shared" si="23"/>
        <v>2.262447672325496E-3</v>
      </c>
      <c r="F316" s="129">
        <f t="shared" si="24"/>
        <v>3.903127820947816E-18</v>
      </c>
      <c r="G316" s="22">
        <v>2.2624476723254999E-3</v>
      </c>
      <c r="H316" s="21">
        <f t="shared" si="25"/>
        <v>5</v>
      </c>
      <c r="I316" s="21">
        <v>5</v>
      </c>
      <c r="J316" s="23" t="s">
        <v>24</v>
      </c>
      <c r="K316" s="23" t="s">
        <v>24</v>
      </c>
      <c r="L316" s="22">
        <v>7.3077064336677294E-2</v>
      </c>
      <c r="M316" s="134">
        <f t="shared" si="26"/>
        <v>7.307706433667735E-2</v>
      </c>
      <c r="N316" s="231">
        <f t="shared" si="27"/>
        <v>0</v>
      </c>
    </row>
    <row r="317" spans="2:14" x14ac:dyDescent="0.45">
      <c r="B317" s="12">
        <v>10</v>
      </c>
      <c r="C317" s="111">
        <v>16</v>
      </c>
      <c r="D317" s="12">
        <v>4</v>
      </c>
      <c r="E317" s="22">
        <f t="shared" si="23"/>
        <v>7.0701489760171751E-4</v>
      </c>
      <c r="F317" s="129">
        <f t="shared" si="24"/>
        <v>0</v>
      </c>
      <c r="G317" s="22">
        <v>7.0701489760171795E-4</v>
      </c>
      <c r="H317" s="21">
        <f t="shared" si="25"/>
        <v>7.2</v>
      </c>
      <c r="I317" s="21">
        <v>7.2</v>
      </c>
      <c r="J317" s="23" t="s">
        <v>24</v>
      </c>
      <c r="K317" s="23" t="s">
        <v>24</v>
      </c>
      <c r="L317" s="22">
        <v>2.1175823681357502E-2</v>
      </c>
      <c r="M317" s="134">
        <f t="shared" si="26"/>
        <v>2.1175823681357463E-2</v>
      </c>
      <c r="N317" s="231">
        <f t="shared" si="27"/>
        <v>3.8163916471489756E-17</v>
      </c>
    </row>
    <row r="318" spans="2:14" x14ac:dyDescent="0.45">
      <c r="B318" s="12">
        <v>10</v>
      </c>
      <c r="C318" s="111">
        <v>17</v>
      </c>
      <c r="D318" s="12">
        <v>3</v>
      </c>
      <c r="E318" s="22">
        <f t="shared" si="23"/>
        <v>1.6635644649452177E-4</v>
      </c>
      <c r="F318" s="129">
        <f t="shared" si="24"/>
        <v>2.439454888092385E-19</v>
      </c>
      <c r="G318" s="22">
        <v>1.6635644649452201E-4</v>
      </c>
      <c r="H318" s="21">
        <f t="shared" si="25"/>
        <v>9.8000000000000007</v>
      </c>
      <c r="I318" s="21">
        <v>9.8000000000000007</v>
      </c>
      <c r="J318" s="23" t="s">
        <v>24</v>
      </c>
      <c r="K318" s="23" t="s">
        <v>24</v>
      </c>
      <c r="L318" s="22">
        <v>4.4771801788977697E-3</v>
      </c>
      <c r="M318" s="134">
        <f t="shared" si="26"/>
        <v>4.4771801788977689E-3</v>
      </c>
      <c r="N318" s="231">
        <f t="shared" si="27"/>
        <v>0</v>
      </c>
    </row>
    <row r="319" spans="2:14" x14ac:dyDescent="0.45">
      <c r="B319" s="12">
        <v>10</v>
      </c>
      <c r="C319" s="111">
        <v>18</v>
      </c>
      <c r="D319" s="12">
        <v>2</v>
      </c>
      <c r="E319" s="22">
        <f t="shared" si="23"/>
        <v>2.7726074415753628E-5</v>
      </c>
      <c r="F319" s="129">
        <f t="shared" si="24"/>
        <v>-2.7105054312137611E-20</v>
      </c>
      <c r="G319" s="22">
        <v>2.7726074415753601E-5</v>
      </c>
      <c r="H319" s="21">
        <f t="shared" si="25"/>
        <v>12.8</v>
      </c>
      <c r="I319" s="21">
        <v>12.8</v>
      </c>
      <c r="J319" s="23" t="s">
        <v>24</v>
      </c>
      <c r="K319" s="23" t="s">
        <v>24</v>
      </c>
      <c r="L319" s="22">
        <v>6.3538201383358996E-4</v>
      </c>
      <c r="M319" s="134">
        <f t="shared" si="26"/>
        <v>6.3538201383358584E-4</v>
      </c>
      <c r="N319" s="231">
        <f t="shared" si="27"/>
        <v>4.1199682554449168E-18</v>
      </c>
    </row>
    <row r="320" spans="2:14" x14ac:dyDescent="0.45">
      <c r="B320" s="12">
        <v>10</v>
      </c>
      <c r="C320" s="111">
        <v>19</v>
      </c>
      <c r="D320" s="12">
        <v>1</v>
      </c>
      <c r="E320" s="22">
        <f t="shared" si="23"/>
        <v>2.9185341490266974E-6</v>
      </c>
      <c r="F320" s="129">
        <f t="shared" si="24"/>
        <v>0</v>
      </c>
      <c r="G320" s="22">
        <v>2.9185341490266999E-6</v>
      </c>
      <c r="H320" s="21">
        <f t="shared" si="25"/>
        <v>16.2</v>
      </c>
      <c r="I320" s="21">
        <v>16.2</v>
      </c>
      <c r="J320" s="23" t="s">
        <v>24</v>
      </c>
      <c r="K320" s="23" t="s">
        <v>24</v>
      </c>
      <c r="L320" s="22">
        <v>5.0545393498239999E-5</v>
      </c>
      <c r="M320" s="134">
        <f t="shared" si="26"/>
        <v>5.0545393498238474E-5</v>
      </c>
      <c r="N320" s="231">
        <f t="shared" si="27"/>
        <v>1.5246593050577406E-18</v>
      </c>
    </row>
    <row r="321" spans="2:14" x14ac:dyDescent="0.45">
      <c r="B321" s="12">
        <v>10</v>
      </c>
      <c r="C321" s="111">
        <v>20</v>
      </c>
      <c r="D321" s="195">
        <v>0</v>
      </c>
      <c r="E321" s="22">
        <f t="shared" si="23"/>
        <v>1.4592670745133486E-7</v>
      </c>
      <c r="F321" s="129">
        <f t="shared" si="24"/>
        <v>0</v>
      </c>
      <c r="G321" s="22">
        <v>1.45926707451335E-7</v>
      </c>
      <c r="H321" s="21">
        <f t="shared" si="25"/>
        <v>20</v>
      </c>
      <c r="I321" s="21">
        <v>20</v>
      </c>
      <c r="J321" s="23" t="s">
        <v>24</v>
      </c>
      <c r="K321" s="23" t="s">
        <v>24</v>
      </c>
      <c r="L321" s="22">
        <v>9.5367431641000003E-7</v>
      </c>
      <c r="M321" s="207">
        <f>1/(((B321/10)^B321)*((C321/10)^C321))</f>
        <v>9.5367431640625E-7</v>
      </c>
      <c r="N321" s="231">
        <f t="shared" si="27"/>
        <v>3.7500266157316012E-18</v>
      </c>
    </row>
    <row r="322" spans="2:14" x14ac:dyDescent="0.45">
      <c r="B322" s="12">
        <v>11</v>
      </c>
      <c r="C322" s="195">
        <v>0</v>
      </c>
      <c r="D322" s="12">
        <v>19</v>
      </c>
      <c r="E322" s="22">
        <f t="shared" si="23"/>
        <v>2.6532128627515431E-7</v>
      </c>
      <c r="F322" s="129">
        <f t="shared" si="24"/>
        <v>0</v>
      </c>
      <c r="G322" s="22">
        <v>2.65321286275154E-7</v>
      </c>
      <c r="H322" s="21">
        <f t="shared" si="25"/>
        <v>18.2</v>
      </c>
      <c r="I322" s="21">
        <v>18.2</v>
      </c>
      <c r="J322" s="23" t="s">
        <v>24</v>
      </c>
      <c r="K322" s="23" t="s">
        <v>24</v>
      </c>
      <c r="L322" s="22">
        <v>1.7715852068E-6</v>
      </c>
      <c r="M322" s="207">
        <f>1/(((B322/10)^B322)*((D322/10)^D322))</f>
        <v>1.7715852068019011E-6</v>
      </c>
      <c r="N322" s="231">
        <f t="shared" si="27"/>
        <v>-1.9011654501122771E-18</v>
      </c>
    </row>
    <row r="323" spans="2:14" x14ac:dyDescent="0.45">
      <c r="B323" s="12">
        <v>11</v>
      </c>
      <c r="C323" s="111">
        <v>1</v>
      </c>
      <c r="D323" s="12">
        <v>18</v>
      </c>
      <c r="E323" s="22">
        <f t="shared" si="23"/>
        <v>5.0411044392279319E-6</v>
      </c>
      <c r="F323" s="129">
        <f t="shared" si="24"/>
        <v>0</v>
      </c>
      <c r="G323" s="22">
        <v>5.0411044392279302E-6</v>
      </c>
      <c r="H323" s="21">
        <f t="shared" si="25"/>
        <v>14.6</v>
      </c>
      <c r="I323" s="21">
        <v>14.6</v>
      </c>
      <c r="J323" s="23" t="s">
        <v>24</v>
      </c>
      <c r="K323" s="23" t="s">
        <v>24</v>
      </c>
      <c r="L323" s="22">
        <v>8.9079007875550003E-5</v>
      </c>
      <c r="M323" s="134">
        <f t="shared" si="26"/>
        <v>8.9079007875549353E-5</v>
      </c>
      <c r="N323" s="231">
        <f t="shared" si="27"/>
        <v>6.5052130349130266E-19</v>
      </c>
    </row>
    <row r="324" spans="2:14" x14ac:dyDescent="0.45">
      <c r="B324" s="12">
        <v>11</v>
      </c>
      <c r="C324" s="111">
        <v>2</v>
      </c>
      <c r="D324" s="12">
        <v>17</v>
      </c>
      <c r="E324" s="22">
        <f t="shared" si="23"/>
        <v>4.5369939953051386E-5</v>
      </c>
      <c r="F324" s="129">
        <f t="shared" si="24"/>
        <v>0</v>
      </c>
      <c r="G324" s="22">
        <v>4.53699399530514E-5</v>
      </c>
      <c r="H324" s="21">
        <f t="shared" si="25"/>
        <v>11.4</v>
      </c>
      <c r="I324" s="21">
        <v>11.4</v>
      </c>
      <c r="J324" s="23" t="s">
        <v>24</v>
      </c>
      <c r="K324" s="23" t="s">
        <v>24</v>
      </c>
      <c r="L324" s="22">
        <v>1.0592264292183099E-3</v>
      </c>
      <c r="M324" s="134">
        <f t="shared" si="26"/>
        <v>1.0592264292183062E-3</v>
      </c>
      <c r="N324" s="231">
        <f t="shared" si="27"/>
        <v>3.6862873864507151E-18</v>
      </c>
    </row>
    <row r="325" spans="2:14" x14ac:dyDescent="0.45">
      <c r="B325" s="12">
        <v>11</v>
      </c>
      <c r="C325" s="111">
        <v>3</v>
      </c>
      <c r="D325" s="12">
        <v>16</v>
      </c>
      <c r="E325" s="22">
        <f t="shared" si="23"/>
        <v>2.5709632640062453E-4</v>
      </c>
      <c r="F325" s="129">
        <f t="shared" si="24"/>
        <v>4.87890977618477E-19</v>
      </c>
      <c r="G325" s="22">
        <v>2.5709632640062501E-4</v>
      </c>
      <c r="H325" s="21">
        <f t="shared" si="25"/>
        <v>8.6</v>
      </c>
      <c r="I325" s="21">
        <v>8.6</v>
      </c>
      <c r="J325" s="23" t="s">
        <v>24</v>
      </c>
      <c r="K325" s="23" t="s">
        <v>24</v>
      </c>
      <c r="L325" s="22">
        <v>7.0371527270489198E-3</v>
      </c>
      <c r="M325" s="134">
        <f t="shared" si="26"/>
        <v>7.0371527270489042E-3</v>
      </c>
      <c r="N325" s="231">
        <f t="shared" si="27"/>
        <v>1.5612511283791264E-17</v>
      </c>
    </row>
    <row r="326" spans="2:14" x14ac:dyDescent="0.45">
      <c r="B326" s="12">
        <v>11</v>
      </c>
      <c r="C326" s="111">
        <v>4</v>
      </c>
      <c r="D326" s="12">
        <v>15</v>
      </c>
      <c r="E326" s="22">
        <f t="shared" si="23"/>
        <v>1.0283853056024981E-3</v>
      </c>
      <c r="F326" s="129">
        <f t="shared" si="24"/>
        <v>1.951563910473908E-18</v>
      </c>
      <c r="G326" s="22">
        <v>1.0283853056025001E-3</v>
      </c>
      <c r="H326" s="21">
        <f t="shared" si="25"/>
        <v>6.2</v>
      </c>
      <c r="I326" s="21">
        <v>6.2</v>
      </c>
      <c r="J326" s="23" t="s">
        <v>24</v>
      </c>
      <c r="K326" s="23" t="s">
        <v>24</v>
      </c>
      <c r="L326" s="22">
        <v>3.1265948781756099E-2</v>
      </c>
      <c r="M326" s="134">
        <f t="shared" si="26"/>
        <v>3.1265948781756113E-2</v>
      </c>
      <c r="N326" s="231">
        <f t="shared" si="27"/>
        <v>0</v>
      </c>
    </row>
    <row r="327" spans="2:14" x14ac:dyDescent="0.45">
      <c r="B327" s="12">
        <v>11</v>
      </c>
      <c r="C327" s="111">
        <v>5</v>
      </c>
      <c r="D327" s="12">
        <v>14</v>
      </c>
      <c r="E327" s="22">
        <f t="shared" si="23"/>
        <v>3.0851559168074945E-3</v>
      </c>
      <c r="F327" s="129">
        <f t="shared" si="24"/>
        <v>5.6378512969246231E-18</v>
      </c>
      <c r="G327" s="22">
        <v>3.0851559168075002E-3</v>
      </c>
      <c r="H327" s="21">
        <f t="shared" si="25"/>
        <v>4.2</v>
      </c>
      <c r="I327" s="21">
        <v>4.2</v>
      </c>
      <c r="J327" s="23" t="s">
        <v>24</v>
      </c>
      <c r="K327" s="23" t="s">
        <v>24</v>
      </c>
      <c r="L327" s="22">
        <v>0.100934106318291</v>
      </c>
      <c r="M327" s="134">
        <f t="shared" si="26"/>
        <v>0.10093410631829174</v>
      </c>
      <c r="N327" s="231">
        <f t="shared" si="27"/>
        <v>-7.3552275381416621E-16</v>
      </c>
    </row>
    <row r="328" spans="2:14" x14ac:dyDescent="0.45">
      <c r="B328" s="12">
        <v>11</v>
      </c>
      <c r="C328" s="111">
        <v>6</v>
      </c>
      <c r="D328" s="12">
        <v>13</v>
      </c>
      <c r="E328" s="22">
        <f t="shared" si="23"/>
        <v>7.1986971392174869E-3</v>
      </c>
      <c r="F328" s="129">
        <f t="shared" si="24"/>
        <v>0</v>
      </c>
      <c r="G328" s="22">
        <v>7.1986971392174904E-3</v>
      </c>
      <c r="H328" s="21">
        <f t="shared" si="25"/>
        <v>2.6</v>
      </c>
      <c r="I328" s="21">
        <v>2.6</v>
      </c>
      <c r="J328" s="23" t="s">
        <v>27</v>
      </c>
      <c r="K328" s="23" t="s">
        <v>24</v>
      </c>
      <c r="L328" s="22">
        <v>0.24803295134195899</v>
      </c>
      <c r="M328" s="134">
        <f t="shared" si="26"/>
        <v>0.2480329513419596</v>
      </c>
      <c r="N328" s="231">
        <f t="shared" si="27"/>
        <v>-6.106226635438361E-16</v>
      </c>
    </row>
    <row r="329" spans="2:14" x14ac:dyDescent="0.45">
      <c r="B329" s="12">
        <v>11</v>
      </c>
      <c r="C329" s="111">
        <v>7</v>
      </c>
      <c r="D329" s="12">
        <v>12</v>
      </c>
      <c r="E329" s="22">
        <f t="shared" si="23"/>
        <v>1.3369008972832476E-2</v>
      </c>
      <c r="F329" s="129">
        <f t="shared" si="24"/>
        <v>2.4286128663675299E-17</v>
      </c>
      <c r="G329" s="22">
        <v>1.33690089728325E-2</v>
      </c>
      <c r="H329" s="21">
        <f t="shared" si="25"/>
        <v>1.4</v>
      </c>
      <c r="I329" s="21">
        <v>1.4</v>
      </c>
      <c r="J329" s="23"/>
      <c r="K329" s="23"/>
      <c r="L329" s="22">
        <v>0.47733054968894301</v>
      </c>
      <c r="M329" s="134">
        <f t="shared" si="26"/>
        <v>0.47733054968894295</v>
      </c>
      <c r="N329" s="231">
        <f t="shared" si="27"/>
        <v>0</v>
      </c>
    </row>
    <row r="330" spans="2:14" x14ac:dyDescent="0.45">
      <c r="B330" s="12">
        <v>11</v>
      </c>
      <c r="C330" s="111">
        <v>8</v>
      </c>
      <c r="D330" s="12">
        <v>11</v>
      </c>
      <c r="E330" s="22">
        <f t="shared" si="23"/>
        <v>2.0053513459248714E-2</v>
      </c>
      <c r="F330" s="129">
        <f t="shared" si="24"/>
        <v>0</v>
      </c>
      <c r="G330" s="22">
        <v>2.00535134592487E-2</v>
      </c>
      <c r="H330" s="21">
        <f t="shared" si="25"/>
        <v>0.6</v>
      </c>
      <c r="I330" s="21">
        <v>0.6</v>
      </c>
      <c r="J330" s="23"/>
      <c r="K330" s="23"/>
      <c r="L330" s="22">
        <v>0.73221906169457696</v>
      </c>
      <c r="M330" s="134">
        <f t="shared" si="26"/>
        <v>0.73221906169457529</v>
      </c>
      <c r="N330" s="231">
        <f t="shared" si="27"/>
        <v>1.6653345369377348E-15</v>
      </c>
    </row>
    <row r="331" spans="2:14" x14ac:dyDescent="0.45">
      <c r="B331" s="12">
        <v>11</v>
      </c>
      <c r="C331" s="111">
        <v>9</v>
      </c>
      <c r="D331" s="12">
        <v>10</v>
      </c>
      <c r="E331" s="22">
        <f t="shared" si="23"/>
        <v>2.4509849783526206E-2</v>
      </c>
      <c r="F331" s="129">
        <f t="shared" si="24"/>
        <v>0</v>
      </c>
      <c r="G331" s="22">
        <v>2.4509849783526199E-2</v>
      </c>
      <c r="H331" s="21">
        <f t="shared" si="25"/>
        <v>0.2</v>
      </c>
      <c r="I331" s="21">
        <v>0.2</v>
      </c>
      <c r="J331" s="23"/>
      <c r="K331" s="23"/>
      <c r="L331" s="22">
        <v>0.90468601799062898</v>
      </c>
      <c r="M331" s="134">
        <f t="shared" si="26"/>
        <v>0.90468601799062842</v>
      </c>
      <c r="N331" s="231">
        <f t="shared" si="27"/>
        <v>0</v>
      </c>
    </row>
    <row r="332" spans="2:14" x14ac:dyDescent="0.45">
      <c r="B332" s="12">
        <v>11</v>
      </c>
      <c r="C332" s="111">
        <v>10</v>
      </c>
      <c r="D332" s="12">
        <v>9</v>
      </c>
      <c r="E332" s="22">
        <f t="shared" si="23"/>
        <v>2.4509849783526206E-2</v>
      </c>
      <c r="F332" s="129">
        <f t="shared" si="24"/>
        <v>0</v>
      </c>
      <c r="G332" s="22">
        <v>2.4509849783526199E-2</v>
      </c>
      <c r="H332" s="21">
        <f t="shared" si="25"/>
        <v>0.2</v>
      </c>
      <c r="I332" s="21">
        <v>0.2</v>
      </c>
      <c r="J332" s="23"/>
      <c r="K332" s="23"/>
      <c r="L332" s="22">
        <v>0.90468601799062898</v>
      </c>
      <c r="M332" s="134">
        <f t="shared" si="26"/>
        <v>0.90468601799062842</v>
      </c>
      <c r="N332" s="231">
        <f t="shared" si="27"/>
        <v>0</v>
      </c>
    </row>
    <row r="333" spans="2:14" x14ac:dyDescent="0.45">
      <c r="B333" s="12">
        <v>11</v>
      </c>
      <c r="C333" s="111">
        <v>11</v>
      </c>
      <c r="D333" s="12">
        <v>8</v>
      </c>
      <c r="E333" s="22">
        <f t="shared" si="23"/>
        <v>2.0053513459248714E-2</v>
      </c>
      <c r="F333" s="129">
        <f t="shared" si="24"/>
        <v>0</v>
      </c>
      <c r="G333" s="22">
        <v>2.00535134592487E-2</v>
      </c>
      <c r="H333" s="21">
        <f t="shared" si="25"/>
        <v>0.6</v>
      </c>
      <c r="I333" s="21">
        <v>0.6</v>
      </c>
      <c r="J333" s="23"/>
      <c r="K333" s="23"/>
      <c r="L333" s="22">
        <v>0.73221906169457696</v>
      </c>
      <c r="M333" s="134">
        <f t="shared" si="26"/>
        <v>0.73221906169457518</v>
      </c>
      <c r="N333" s="231">
        <f t="shared" si="27"/>
        <v>1.7763568394002505E-15</v>
      </c>
    </row>
    <row r="334" spans="2:14" x14ac:dyDescent="0.45">
      <c r="B334" s="12">
        <v>11</v>
      </c>
      <c r="C334" s="111">
        <v>12</v>
      </c>
      <c r="D334" s="12">
        <v>7</v>
      </c>
      <c r="E334" s="22">
        <f t="shared" si="23"/>
        <v>1.3369008972832476E-2</v>
      </c>
      <c r="F334" s="129">
        <f t="shared" si="24"/>
        <v>2.4286128663675299E-17</v>
      </c>
      <c r="G334" s="22">
        <v>1.33690089728325E-2</v>
      </c>
      <c r="H334" s="21">
        <f t="shared" si="25"/>
        <v>1.4</v>
      </c>
      <c r="I334" s="21">
        <v>1.4</v>
      </c>
      <c r="J334" s="23"/>
      <c r="K334" s="23"/>
      <c r="L334" s="22">
        <v>0.47733054968894301</v>
      </c>
      <c r="M334" s="134">
        <f t="shared" si="26"/>
        <v>0.47733054968894295</v>
      </c>
      <c r="N334" s="231">
        <f t="shared" si="27"/>
        <v>0</v>
      </c>
    </row>
    <row r="335" spans="2:14" x14ac:dyDescent="0.45">
      <c r="B335" s="12">
        <v>11</v>
      </c>
      <c r="C335" s="111">
        <v>13</v>
      </c>
      <c r="D335" s="12">
        <v>6</v>
      </c>
      <c r="E335" s="22">
        <f t="shared" si="23"/>
        <v>7.1986971392174869E-3</v>
      </c>
      <c r="F335" s="129">
        <f t="shared" si="24"/>
        <v>0</v>
      </c>
      <c r="G335" s="22">
        <v>7.1986971392174904E-3</v>
      </c>
      <c r="H335" s="21">
        <f t="shared" si="25"/>
        <v>2.6</v>
      </c>
      <c r="I335" s="21">
        <v>2.6</v>
      </c>
      <c r="J335" s="23" t="s">
        <v>27</v>
      </c>
      <c r="K335" s="23" t="s">
        <v>24</v>
      </c>
      <c r="L335" s="22">
        <v>0.24803295134195899</v>
      </c>
      <c r="M335" s="134">
        <f t="shared" si="26"/>
        <v>0.2480329513419596</v>
      </c>
      <c r="N335" s="231">
        <f t="shared" si="27"/>
        <v>-6.106226635438361E-16</v>
      </c>
    </row>
    <row r="336" spans="2:14" x14ac:dyDescent="0.45">
      <c r="B336" s="12">
        <v>11</v>
      </c>
      <c r="C336" s="111">
        <v>14</v>
      </c>
      <c r="D336" s="12">
        <v>5</v>
      </c>
      <c r="E336" s="22">
        <f t="shared" si="23"/>
        <v>3.0851559168074945E-3</v>
      </c>
      <c r="F336" s="129">
        <f t="shared" si="24"/>
        <v>5.6378512969246231E-18</v>
      </c>
      <c r="G336" s="22">
        <v>3.0851559168075002E-3</v>
      </c>
      <c r="H336" s="21">
        <f t="shared" si="25"/>
        <v>4.2</v>
      </c>
      <c r="I336" s="21">
        <v>4.2</v>
      </c>
      <c r="J336" s="23" t="s">
        <v>24</v>
      </c>
      <c r="K336" s="23" t="s">
        <v>24</v>
      </c>
      <c r="L336" s="22">
        <v>0.100934106318291</v>
      </c>
      <c r="M336" s="134">
        <f t="shared" si="26"/>
        <v>0.10093410631829174</v>
      </c>
      <c r="N336" s="231">
        <f t="shared" si="27"/>
        <v>-7.3552275381416621E-16</v>
      </c>
    </row>
    <row r="337" spans="2:14" x14ac:dyDescent="0.45">
      <c r="B337" s="12">
        <v>11</v>
      </c>
      <c r="C337" s="111">
        <v>15</v>
      </c>
      <c r="D337" s="12">
        <v>4</v>
      </c>
      <c r="E337" s="22">
        <f t="shared" si="23"/>
        <v>1.0283853056024981E-3</v>
      </c>
      <c r="F337" s="129">
        <f t="shared" si="24"/>
        <v>1.951563910473908E-18</v>
      </c>
      <c r="G337" s="22">
        <v>1.0283853056025001E-3</v>
      </c>
      <c r="H337" s="21">
        <f t="shared" si="25"/>
        <v>6.2</v>
      </c>
      <c r="I337" s="21">
        <v>6.2</v>
      </c>
      <c r="J337" s="23" t="s">
        <v>24</v>
      </c>
      <c r="K337" s="23" t="s">
        <v>24</v>
      </c>
      <c r="L337" s="22">
        <v>3.1265948781756099E-2</v>
      </c>
      <c r="M337" s="134">
        <f t="shared" si="26"/>
        <v>3.126594878175612E-2</v>
      </c>
      <c r="N337" s="231">
        <f t="shared" si="27"/>
        <v>0</v>
      </c>
    </row>
    <row r="338" spans="2:14" x14ac:dyDescent="0.45">
      <c r="B338" s="12">
        <v>11</v>
      </c>
      <c r="C338" s="111">
        <v>16</v>
      </c>
      <c r="D338" s="12">
        <v>3</v>
      </c>
      <c r="E338" s="22">
        <f t="shared" si="23"/>
        <v>2.5709632640062453E-4</v>
      </c>
      <c r="F338" s="129">
        <f t="shared" si="24"/>
        <v>4.87890977618477E-19</v>
      </c>
      <c r="G338" s="22">
        <v>2.5709632640062501E-4</v>
      </c>
      <c r="H338" s="21">
        <f t="shared" si="25"/>
        <v>8.6</v>
      </c>
      <c r="I338" s="21">
        <v>8.6</v>
      </c>
      <c r="J338" s="23" t="s">
        <v>24</v>
      </c>
      <c r="K338" s="23" t="s">
        <v>24</v>
      </c>
      <c r="L338" s="22">
        <v>7.0371527270489198E-3</v>
      </c>
      <c r="M338" s="134">
        <f t="shared" si="26"/>
        <v>7.0371527270489042E-3</v>
      </c>
      <c r="N338" s="231">
        <f t="shared" si="27"/>
        <v>1.5612511283791264E-17</v>
      </c>
    </row>
    <row r="339" spans="2:14" x14ac:dyDescent="0.45">
      <c r="B339" s="12">
        <v>11</v>
      </c>
      <c r="C339" s="111">
        <v>17</v>
      </c>
      <c r="D339" s="12">
        <v>2</v>
      </c>
      <c r="E339" s="22">
        <f t="shared" si="23"/>
        <v>4.5369939953051386E-5</v>
      </c>
      <c r="F339" s="129">
        <f t="shared" si="24"/>
        <v>0</v>
      </c>
      <c r="G339" s="22">
        <v>4.53699399530514E-5</v>
      </c>
      <c r="H339" s="21">
        <f t="shared" si="25"/>
        <v>11.4</v>
      </c>
      <c r="I339" s="21">
        <v>11.4</v>
      </c>
      <c r="J339" s="23" t="s">
        <v>24</v>
      </c>
      <c r="K339" s="23" t="s">
        <v>24</v>
      </c>
      <c r="L339" s="22">
        <v>1.0592264292183099E-3</v>
      </c>
      <c r="M339" s="134">
        <f t="shared" si="26"/>
        <v>1.0592264292183062E-3</v>
      </c>
      <c r="N339" s="231">
        <f t="shared" si="27"/>
        <v>3.6862873864507151E-18</v>
      </c>
    </row>
    <row r="340" spans="2:14" x14ac:dyDescent="0.45">
      <c r="B340" s="12">
        <v>11</v>
      </c>
      <c r="C340" s="111">
        <v>18</v>
      </c>
      <c r="D340" s="12">
        <v>1</v>
      </c>
      <c r="E340" s="22">
        <f t="shared" si="23"/>
        <v>5.0411044392279319E-6</v>
      </c>
      <c r="F340" s="129">
        <f t="shared" si="24"/>
        <v>0</v>
      </c>
      <c r="G340" s="22">
        <v>5.0411044392279302E-6</v>
      </c>
      <c r="H340" s="21">
        <f t="shared" si="25"/>
        <v>14.6</v>
      </c>
      <c r="I340" s="21">
        <v>14.6</v>
      </c>
      <c r="J340" s="23" t="s">
        <v>24</v>
      </c>
      <c r="K340" s="23" t="s">
        <v>24</v>
      </c>
      <c r="L340" s="22">
        <v>8.9079007875550003E-5</v>
      </c>
      <c r="M340" s="134">
        <f t="shared" si="26"/>
        <v>8.9079007875549353E-5</v>
      </c>
      <c r="N340" s="231">
        <f t="shared" si="27"/>
        <v>6.5052130349130266E-19</v>
      </c>
    </row>
    <row r="341" spans="2:14" x14ac:dyDescent="0.45">
      <c r="B341" s="12">
        <v>11</v>
      </c>
      <c r="C341" s="111">
        <v>19</v>
      </c>
      <c r="D341" s="195">
        <v>0</v>
      </c>
      <c r="E341" s="22">
        <f t="shared" si="23"/>
        <v>2.6532128627515431E-7</v>
      </c>
      <c r="F341" s="129">
        <f t="shared" si="24"/>
        <v>0</v>
      </c>
      <c r="G341" s="22">
        <v>2.65321286275154E-7</v>
      </c>
      <c r="H341" s="21">
        <f t="shared" si="25"/>
        <v>18.2</v>
      </c>
      <c r="I341" s="21">
        <v>18.2</v>
      </c>
      <c r="J341" s="23" t="s">
        <v>24</v>
      </c>
      <c r="K341" s="23" t="s">
        <v>24</v>
      </c>
      <c r="L341" s="22">
        <v>1.7715852068E-6</v>
      </c>
      <c r="M341" s="207">
        <f>1/(((B341/10)^B341)*((C341/10)^C341))</f>
        <v>1.7715852068019011E-6</v>
      </c>
      <c r="N341" s="231">
        <f t="shared" si="27"/>
        <v>-1.9011654501122771E-18</v>
      </c>
    </row>
    <row r="342" spans="2:14" x14ac:dyDescent="0.45">
      <c r="B342" s="12">
        <v>12</v>
      </c>
      <c r="C342" s="195">
        <v>0</v>
      </c>
      <c r="D342" s="12">
        <v>18</v>
      </c>
      <c r="E342" s="22">
        <f t="shared" si="23"/>
        <v>4.2009203660232764E-7</v>
      </c>
      <c r="F342" s="129">
        <f t="shared" si="24"/>
        <v>0</v>
      </c>
      <c r="G342" s="22">
        <v>4.2009203660232801E-7</v>
      </c>
      <c r="H342" s="21">
        <f t="shared" si="25"/>
        <v>16.8</v>
      </c>
      <c r="I342" s="21">
        <v>16.8</v>
      </c>
      <c r="J342" s="23" t="s">
        <v>24</v>
      </c>
      <c r="K342" s="23" t="s">
        <v>24</v>
      </c>
      <c r="L342" s="22">
        <v>2.8504928472799999E-6</v>
      </c>
      <c r="M342" s="207">
        <f>1/(((B342/10)^B342)*((D342/10)^D342))</f>
        <v>2.8504928472754814E-6</v>
      </c>
      <c r="N342" s="231">
        <f t="shared" si="27"/>
        <v>4.5184972571280652E-18</v>
      </c>
    </row>
    <row r="343" spans="2:14" x14ac:dyDescent="0.45">
      <c r="B343" s="12">
        <v>12</v>
      </c>
      <c r="C343" s="111">
        <v>1</v>
      </c>
      <c r="D343" s="12">
        <v>17</v>
      </c>
      <c r="E343" s="22">
        <f t="shared" si="23"/>
        <v>7.5616566588418983E-6</v>
      </c>
      <c r="F343" s="129">
        <f t="shared" si="24"/>
        <v>0</v>
      </c>
      <c r="G343" s="22">
        <v>7.5616566588419E-6</v>
      </c>
      <c r="H343" s="21">
        <f t="shared" si="25"/>
        <v>13.4</v>
      </c>
      <c r="I343" s="21">
        <v>13.4</v>
      </c>
      <c r="J343" s="23" t="s">
        <v>24</v>
      </c>
      <c r="K343" s="23" t="s">
        <v>24</v>
      </c>
      <c r="L343" s="22">
        <v>1.3557929896794999E-4</v>
      </c>
      <c r="M343" s="134">
        <f t="shared" si="26"/>
        <v>1.3557929896795275E-4</v>
      </c>
      <c r="N343" s="231">
        <f t="shared" si="27"/>
        <v>-2.7647155398380363E-18</v>
      </c>
    </row>
    <row r="344" spans="2:14" x14ac:dyDescent="0.45">
      <c r="B344" s="12">
        <v>12</v>
      </c>
      <c r="C344" s="111">
        <v>2</v>
      </c>
      <c r="D344" s="12">
        <v>16</v>
      </c>
      <c r="E344" s="22">
        <f t="shared" si="23"/>
        <v>6.4274081600156131E-5</v>
      </c>
      <c r="F344" s="129">
        <f t="shared" si="24"/>
        <v>0</v>
      </c>
      <c r="G344" s="22">
        <v>6.4274081600156199E-5</v>
      </c>
      <c r="H344" s="21">
        <f t="shared" si="25"/>
        <v>10.4</v>
      </c>
      <c r="I344" s="21">
        <v>10.4</v>
      </c>
      <c r="J344" s="23" t="s">
        <v>24</v>
      </c>
      <c r="K344" s="23" t="s">
        <v>24</v>
      </c>
      <c r="L344" s="22">
        <v>1.5200061097023301E-3</v>
      </c>
      <c r="M344" s="134">
        <f t="shared" si="26"/>
        <v>1.5200061097023277E-3</v>
      </c>
      <c r="N344" s="231">
        <f t="shared" si="27"/>
        <v>2.3852447794681098E-18</v>
      </c>
    </row>
    <row r="345" spans="2:14" x14ac:dyDescent="0.45">
      <c r="B345" s="12">
        <v>12</v>
      </c>
      <c r="C345" s="111">
        <v>3</v>
      </c>
      <c r="D345" s="12">
        <v>15</v>
      </c>
      <c r="E345" s="22">
        <f t="shared" si="23"/>
        <v>3.4279510186749937E-4</v>
      </c>
      <c r="F345" s="129">
        <f t="shared" si="24"/>
        <v>6.5052130349130266E-19</v>
      </c>
      <c r="G345" s="22">
        <v>3.4279510186750002E-4</v>
      </c>
      <c r="H345" s="21">
        <f t="shared" si="25"/>
        <v>7.8</v>
      </c>
      <c r="I345" s="21">
        <v>7.8</v>
      </c>
      <c r="J345" s="23" t="s">
        <v>24</v>
      </c>
      <c r="K345" s="23" t="s">
        <v>24</v>
      </c>
      <c r="L345" s="22">
        <v>9.48620263597434E-3</v>
      </c>
      <c r="M345" s="134">
        <f t="shared" si="26"/>
        <v>9.48620263597434E-3</v>
      </c>
      <c r="N345" s="231">
        <f t="shared" si="27"/>
        <v>0</v>
      </c>
    </row>
    <row r="346" spans="2:14" x14ac:dyDescent="0.45">
      <c r="B346" s="12">
        <v>12</v>
      </c>
      <c r="C346" s="111">
        <v>4</v>
      </c>
      <c r="D346" s="12">
        <v>14</v>
      </c>
      <c r="E346" s="22">
        <f t="shared" si="23"/>
        <v>1.2854816320031226E-3</v>
      </c>
      <c r="F346" s="129">
        <f t="shared" si="24"/>
        <v>-2.6020852139652106E-18</v>
      </c>
      <c r="G346" s="22">
        <v>1.28548163200312E-3</v>
      </c>
      <c r="H346" s="21">
        <f t="shared" si="25"/>
        <v>5.6</v>
      </c>
      <c r="I346" s="21">
        <v>5.6</v>
      </c>
      <c r="J346" s="23" t="s">
        <v>24</v>
      </c>
      <c r="K346" s="23" t="s">
        <v>24</v>
      </c>
      <c r="L346" s="22">
        <v>3.9426895576119399E-2</v>
      </c>
      <c r="M346" s="134">
        <f t="shared" si="26"/>
        <v>3.9426895576119503E-2</v>
      </c>
      <c r="N346" s="231">
        <f t="shared" si="27"/>
        <v>-1.0408340855860843E-16</v>
      </c>
    </row>
    <row r="347" spans="2:14" x14ac:dyDescent="0.45">
      <c r="B347" s="12">
        <v>12</v>
      </c>
      <c r="C347" s="111">
        <v>5</v>
      </c>
      <c r="D347" s="12">
        <v>13</v>
      </c>
      <c r="E347" s="22">
        <f t="shared" si="23"/>
        <v>3.5993485696087435E-3</v>
      </c>
      <c r="F347" s="129">
        <f t="shared" si="24"/>
        <v>-3.4694469519536142E-18</v>
      </c>
      <c r="G347" s="22">
        <v>3.59934856960874E-3</v>
      </c>
      <c r="H347" s="21">
        <f t="shared" si="25"/>
        <v>3.8</v>
      </c>
      <c r="I347" s="21">
        <v>3.8</v>
      </c>
      <c r="J347" s="23" t="s">
        <v>24</v>
      </c>
      <c r="K347" s="23" t="s">
        <v>24</v>
      </c>
      <c r="L347" s="22">
        <v>0.118498116054793</v>
      </c>
      <c r="M347" s="134">
        <f t="shared" si="26"/>
        <v>0.11849811605479371</v>
      </c>
      <c r="N347" s="231">
        <f t="shared" si="27"/>
        <v>-7.0776717819853729E-16</v>
      </c>
    </row>
    <row r="348" spans="2:14" x14ac:dyDescent="0.45">
      <c r="B348" s="12">
        <v>12</v>
      </c>
      <c r="C348" s="111">
        <v>6</v>
      </c>
      <c r="D348" s="12">
        <v>12</v>
      </c>
      <c r="E348" s="22">
        <f t="shared" si="23"/>
        <v>7.798588567485611E-3</v>
      </c>
      <c r="F348" s="129">
        <f t="shared" si="24"/>
        <v>0</v>
      </c>
      <c r="G348" s="22">
        <v>7.7985885674856101E-3</v>
      </c>
      <c r="H348" s="21">
        <f t="shared" si="25"/>
        <v>2.4</v>
      </c>
      <c r="I348" s="21">
        <v>2.4</v>
      </c>
      <c r="J348" s="48"/>
      <c r="K348" s="48" t="s">
        <v>24</v>
      </c>
      <c r="L348" s="22">
        <v>0.26961409491759503</v>
      </c>
      <c r="M348" s="134">
        <f t="shared" si="26"/>
        <v>0.26961409491759536</v>
      </c>
      <c r="N348" s="231">
        <f t="shared" si="27"/>
        <v>0</v>
      </c>
    </row>
    <row r="349" spans="2:14" x14ac:dyDescent="0.45">
      <c r="B349" s="12">
        <v>12</v>
      </c>
      <c r="C349" s="111">
        <v>7</v>
      </c>
      <c r="D349" s="12">
        <v>11</v>
      </c>
      <c r="E349" s="22">
        <f t="shared" si="23"/>
        <v>1.3369008972832476E-2</v>
      </c>
      <c r="F349" s="129">
        <f t="shared" si="24"/>
        <v>2.4286128663675299E-17</v>
      </c>
      <c r="G349" s="22">
        <v>1.33690089728325E-2</v>
      </c>
      <c r="H349" s="21">
        <f t="shared" si="25"/>
        <v>1.4</v>
      </c>
      <c r="I349" s="21">
        <v>1.4</v>
      </c>
      <c r="J349" s="23"/>
      <c r="K349" s="23"/>
      <c r="L349" s="22">
        <v>0.47733054968894301</v>
      </c>
      <c r="M349" s="134">
        <f t="shared" si="26"/>
        <v>0.47733054968894295</v>
      </c>
      <c r="N349" s="231">
        <f t="shared" si="27"/>
        <v>0</v>
      </c>
    </row>
    <row r="350" spans="2:14" x14ac:dyDescent="0.45">
      <c r="B350" s="12">
        <v>12</v>
      </c>
      <c r="C350" s="111">
        <v>8</v>
      </c>
      <c r="D350" s="12">
        <v>10</v>
      </c>
      <c r="E350" s="22">
        <f t="shared" si="23"/>
        <v>1.8382387337644655E-2</v>
      </c>
      <c r="F350" s="129">
        <f t="shared" si="24"/>
        <v>4.5102810375396984E-17</v>
      </c>
      <c r="G350" s="22">
        <v>1.83823873376447E-2</v>
      </c>
      <c r="H350" s="21">
        <f t="shared" si="25"/>
        <v>0.8</v>
      </c>
      <c r="I350" s="21">
        <v>0.8</v>
      </c>
      <c r="J350" s="23"/>
      <c r="K350" s="23"/>
      <c r="L350" s="22">
        <v>0.66850575676330903</v>
      </c>
      <c r="M350" s="134">
        <f t="shared" si="26"/>
        <v>0.66850575676330926</v>
      </c>
      <c r="N350" s="231">
        <f t="shared" si="27"/>
        <v>0</v>
      </c>
    </row>
    <row r="351" spans="2:14" x14ac:dyDescent="0.45">
      <c r="B351" s="12">
        <v>12</v>
      </c>
      <c r="C351" s="111">
        <v>9</v>
      </c>
      <c r="D351" s="12">
        <v>9</v>
      </c>
      <c r="E351" s="22">
        <f t="shared" si="23"/>
        <v>2.0424874819605171E-2</v>
      </c>
      <c r="F351" s="129">
        <f t="shared" si="24"/>
        <v>2.7755575615628914E-17</v>
      </c>
      <c r="G351" s="22">
        <v>2.0424874819605199E-2</v>
      </c>
      <c r="H351" s="21">
        <f t="shared" si="25"/>
        <v>0.6</v>
      </c>
      <c r="I351" s="21">
        <v>0.6</v>
      </c>
      <c r="J351" s="23"/>
      <c r="K351" s="23"/>
      <c r="L351" s="22">
        <v>0.74723959695618403</v>
      </c>
      <c r="M351" s="134">
        <f t="shared" si="26"/>
        <v>0.7472395969561838</v>
      </c>
      <c r="N351" s="231">
        <f t="shared" si="27"/>
        <v>0</v>
      </c>
    </row>
    <row r="352" spans="2:14" x14ac:dyDescent="0.45">
      <c r="B352" s="12">
        <v>12</v>
      </c>
      <c r="C352" s="111">
        <v>10</v>
      </c>
      <c r="D352" s="12">
        <v>8</v>
      </c>
      <c r="E352" s="22">
        <f t="shared" si="23"/>
        <v>1.8382387337644655E-2</v>
      </c>
      <c r="F352" s="129">
        <f t="shared" si="24"/>
        <v>4.5102810375396984E-17</v>
      </c>
      <c r="G352" s="22">
        <v>1.83823873376447E-2</v>
      </c>
      <c r="H352" s="21">
        <f t="shared" si="25"/>
        <v>0.8</v>
      </c>
      <c r="I352" s="21">
        <v>0.8</v>
      </c>
      <c r="J352" s="23"/>
      <c r="K352" s="23"/>
      <c r="L352" s="22">
        <v>0.66850575676330903</v>
      </c>
      <c r="M352" s="134">
        <f t="shared" si="26"/>
        <v>0.66850575676330926</v>
      </c>
      <c r="N352" s="231">
        <f t="shared" si="27"/>
        <v>0</v>
      </c>
    </row>
    <row r="353" spans="2:14" x14ac:dyDescent="0.45">
      <c r="B353" s="12">
        <v>12</v>
      </c>
      <c r="C353" s="111">
        <v>11</v>
      </c>
      <c r="D353" s="12">
        <v>7</v>
      </c>
      <c r="E353" s="22">
        <f t="shared" si="23"/>
        <v>1.3369008972832476E-2</v>
      </c>
      <c r="F353" s="129">
        <f t="shared" si="24"/>
        <v>2.4286128663675299E-17</v>
      </c>
      <c r="G353" s="22">
        <v>1.33690089728325E-2</v>
      </c>
      <c r="H353" s="21">
        <f t="shared" si="25"/>
        <v>1.4</v>
      </c>
      <c r="I353" s="21">
        <v>1.4</v>
      </c>
      <c r="J353" s="23"/>
      <c r="K353" s="23"/>
      <c r="L353" s="22">
        <v>0.47733054968894301</v>
      </c>
      <c r="M353" s="134">
        <f t="shared" si="26"/>
        <v>0.47733054968894295</v>
      </c>
      <c r="N353" s="231">
        <f t="shared" si="27"/>
        <v>0</v>
      </c>
    </row>
    <row r="354" spans="2:14" x14ac:dyDescent="0.45">
      <c r="B354" s="12">
        <v>12</v>
      </c>
      <c r="C354" s="111">
        <v>12</v>
      </c>
      <c r="D354" s="12">
        <v>6</v>
      </c>
      <c r="E354" s="22">
        <f t="shared" si="23"/>
        <v>7.798588567485611E-3</v>
      </c>
      <c r="F354" s="129">
        <f t="shared" si="24"/>
        <v>0</v>
      </c>
      <c r="G354" s="22">
        <v>7.7985885674856101E-3</v>
      </c>
      <c r="H354" s="21">
        <f t="shared" si="25"/>
        <v>2.4</v>
      </c>
      <c r="I354" s="21">
        <v>2.4</v>
      </c>
      <c r="J354" s="48"/>
      <c r="K354" s="48" t="s">
        <v>24</v>
      </c>
      <c r="L354" s="22">
        <v>0.26961409491759503</v>
      </c>
      <c r="M354" s="134">
        <f t="shared" si="26"/>
        <v>0.26961409491759536</v>
      </c>
      <c r="N354" s="231">
        <f t="shared" si="27"/>
        <v>0</v>
      </c>
    </row>
    <row r="355" spans="2:14" x14ac:dyDescent="0.45">
      <c r="B355" s="12">
        <v>12</v>
      </c>
      <c r="C355" s="111">
        <v>13</v>
      </c>
      <c r="D355" s="12">
        <v>5</v>
      </c>
      <c r="E355" s="22">
        <f t="shared" si="23"/>
        <v>3.5993485696087435E-3</v>
      </c>
      <c r="F355" s="129">
        <f t="shared" si="24"/>
        <v>-3.4694469519536142E-18</v>
      </c>
      <c r="G355" s="22">
        <v>3.59934856960874E-3</v>
      </c>
      <c r="H355" s="21">
        <f t="shared" si="25"/>
        <v>3.8</v>
      </c>
      <c r="I355" s="21">
        <v>3.8</v>
      </c>
      <c r="J355" s="23" t="s">
        <v>24</v>
      </c>
      <c r="K355" s="23" t="s">
        <v>24</v>
      </c>
      <c r="L355" s="22">
        <v>0.118498116054793</v>
      </c>
      <c r="M355" s="134">
        <f t="shared" si="26"/>
        <v>0.11849811605479371</v>
      </c>
      <c r="N355" s="231">
        <f t="shared" si="27"/>
        <v>-7.0776717819853729E-16</v>
      </c>
    </row>
    <row r="356" spans="2:14" x14ac:dyDescent="0.45">
      <c r="B356" s="12">
        <v>12</v>
      </c>
      <c r="C356" s="111">
        <v>14</v>
      </c>
      <c r="D356" s="12">
        <v>4</v>
      </c>
      <c r="E356" s="22">
        <f t="shared" si="23"/>
        <v>1.2854816320031226E-3</v>
      </c>
      <c r="F356" s="129">
        <f t="shared" si="24"/>
        <v>-2.6020852139652106E-18</v>
      </c>
      <c r="G356" s="22">
        <v>1.28548163200312E-3</v>
      </c>
      <c r="H356" s="21">
        <f t="shared" si="25"/>
        <v>5.6</v>
      </c>
      <c r="I356" s="21">
        <v>5.6</v>
      </c>
      <c r="J356" s="23" t="s">
        <v>24</v>
      </c>
      <c r="K356" s="23" t="s">
        <v>24</v>
      </c>
      <c r="L356" s="22">
        <v>3.9426895576119399E-2</v>
      </c>
      <c r="M356" s="134">
        <f t="shared" si="26"/>
        <v>3.9426895576119503E-2</v>
      </c>
      <c r="N356" s="231">
        <f t="shared" si="27"/>
        <v>-1.0408340855860843E-16</v>
      </c>
    </row>
    <row r="357" spans="2:14" x14ac:dyDescent="0.45">
      <c r="B357" s="12">
        <v>12</v>
      </c>
      <c r="C357" s="111">
        <v>15</v>
      </c>
      <c r="D357" s="12">
        <v>3</v>
      </c>
      <c r="E357" s="22">
        <f t="shared" ref="E357:E420" si="28">$E$36*FACT(30)/(FACT(B357)*FACT(C357)*FACT(D357))</f>
        <v>3.4279510186749937E-4</v>
      </c>
      <c r="F357" s="129">
        <f t="shared" ref="F357:F420" si="29">G357-E357</f>
        <v>6.5052130349130266E-19</v>
      </c>
      <c r="G357" s="22">
        <v>3.4279510186750002E-4</v>
      </c>
      <c r="H357" s="21">
        <f t="shared" ref="H357:H420" si="30">(((B357-10))^2+((C357-10))^2+((D357-10))^2)/10</f>
        <v>7.8</v>
      </c>
      <c r="I357" s="21">
        <v>7.8</v>
      </c>
      <c r="J357" s="23" t="s">
        <v>24</v>
      </c>
      <c r="K357" s="23" t="s">
        <v>24</v>
      </c>
      <c r="L357" s="22">
        <v>9.48620263597434E-3</v>
      </c>
      <c r="M357" s="134">
        <f t="shared" ref="M357:M420" si="31">1/(((B357/10)^B357)*((C357/10)^C357)*((D357/10)^D357))</f>
        <v>9.4862026359743418E-3</v>
      </c>
      <c r="N357" s="231">
        <f t="shared" ref="N357:N420" si="32">L357-M357</f>
        <v>0</v>
      </c>
    </row>
    <row r="358" spans="2:14" x14ac:dyDescent="0.45">
      <c r="B358" s="12">
        <v>12</v>
      </c>
      <c r="C358" s="111">
        <v>16</v>
      </c>
      <c r="D358" s="12">
        <v>2</v>
      </c>
      <c r="E358" s="22">
        <f t="shared" si="28"/>
        <v>6.4274081600156131E-5</v>
      </c>
      <c r="F358" s="129">
        <f t="shared" si="29"/>
        <v>0</v>
      </c>
      <c r="G358" s="22">
        <v>6.4274081600156199E-5</v>
      </c>
      <c r="H358" s="21">
        <f t="shared" si="30"/>
        <v>10.4</v>
      </c>
      <c r="I358" s="21">
        <v>10.4</v>
      </c>
      <c r="J358" s="23" t="s">
        <v>24</v>
      </c>
      <c r="K358" s="23" t="s">
        <v>24</v>
      </c>
      <c r="L358" s="22">
        <v>1.5200061097023301E-3</v>
      </c>
      <c r="M358" s="134">
        <f t="shared" si="31"/>
        <v>1.5200061097023277E-3</v>
      </c>
      <c r="N358" s="231">
        <f t="shared" si="32"/>
        <v>2.3852447794681098E-18</v>
      </c>
    </row>
    <row r="359" spans="2:14" x14ac:dyDescent="0.45">
      <c r="B359" s="12">
        <v>12</v>
      </c>
      <c r="C359" s="111">
        <v>17</v>
      </c>
      <c r="D359" s="12">
        <v>1</v>
      </c>
      <c r="E359" s="22">
        <f t="shared" si="28"/>
        <v>7.5616566588418983E-6</v>
      </c>
      <c r="F359" s="129">
        <f t="shared" si="29"/>
        <v>0</v>
      </c>
      <c r="G359" s="22">
        <v>7.5616566588419E-6</v>
      </c>
      <c r="H359" s="21">
        <f t="shared" si="30"/>
        <v>13.4</v>
      </c>
      <c r="I359" s="21">
        <v>13.4</v>
      </c>
      <c r="J359" s="23" t="s">
        <v>24</v>
      </c>
      <c r="K359" s="23" t="s">
        <v>24</v>
      </c>
      <c r="L359" s="22">
        <v>1.3557929896794999E-4</v>
      </c>
      <c r="M359" s="134">
        <f t="shared" si="31"/>
        <v>1.3557929896795275E-4</v>
      </c>
      <c r="N359" s="231">
        <f t="shared" si="32"/>
        <v>-2.7647155398380363E-18</v>
      </c>
    </row>
    <row r="360" spans="2:14" x14ac:dyDescent="0.45">
      <c r="B360" s="12">
        <v>12</v>
      </c>
      <c r="C360" s="111">
        <v>18</v>
      </c>
      <c r="D360" s="12">
        <v>0</v>
      </c>
      <c r="E360" s="22">
        <f t="shared" si="28"/>
        <v>4.2009203660232764E-7</v>
      </c>
      <c r="F360" s="129">
        <f t="shared" si="29"/>
        <v>0</v>
      </c>
      <c r="G360" s="22">
        <v>4.2009203660232801E-7</v>
      </c>
      <c r="H360" s="21">
        <f t="shared" si="30"/>
        <v>16.8</v>
      </c>
      <c r="I360" s="21">
        <v>16.8</v>
      </c>
      <c r="J360" s="23" t="s">
        <v>24</v>
      </c>
      <c r="K360" s="23" t="s">
        <v>24</v>
      </c>
      <c r="L360" s="22">
        <v>2.8504928472799999E-6</v>
      </c>
      <c r="M360" s="207">
        <f>1/(((B360/10)^B360)*((C360/10)^C360))</f>
        <v>2.8504928472754814E-6</v>
      </c>
      <c r="N360" s="231">
        <f t="shared" si="32"/>
        <v>4.5184972571280652E-18</v>
      </c>
    </row>
    <row r="361" spans="2:14" x14ac:dyDescent="0.45">
      <c r="B361" s="12">
        <v>13</v>
      </c>
      <c r="C361" s="195">
        <v>0</v>
      </c>
      <c r="D361" s="12">
        <v>17</v>
      </c>
      <c r="E361" s="22">
        <f t="shared" si="28"/>
        <v>5.8166589683399217E-7</v>
      </c>
      <c r="F361" s="129">
        <f t="shared" si="29"/>
        <v>0</v>
      </c>
      <c r="G361" s="22">
        <v>5.8166589683399196E-7</v>
      </c>
      <c r="H361" s="21">
        <f t="shared" si="30"/>
        <v>15.8</v>
      </c>
      <c r="I361" s="21">
        <v>15.8</v>
      </c>
      <c r="J361" s="23" t="s">
        <v>24</v>
      </c>
      <c r="K361" s="23" t="s">
        <v>24</v>
      </c>
      <c r="L361" s="22">
        <v>3.99121163143E-6</v>
      </c>
      <c r="M361" s="207">
        <f>1/(((B361/10)^B361)*((D361/10)^D361))</f>
        <v>3.9912116314326267E-6</v>
      </c>
      <c r="N361" s="231">
        <f t="shared" si="32"/>
        <v>-2.6266491694355854E-18</v>
      </c>
    </row>
    <row r="362" spans="2:14" x14ac:dyDescent="0.45">
      <c r="B362" s="12">
        <v>13</v>
      </c>
      <c r="C362" s="111">
        <v>1</v>
      </c>
      <c r="D362" s="12">
        <v>16</v>
      </c>
      <c r="E362" s="22">
        <f t="shared" si="28"/>
        <v>9.8883202461778674E-6</v>
      </c>
      <c r="F362" s="129">
        <f t="shared" si="29"/>
        <v>0</v>
      </c>
      <c r="G362" s="22">
        <v>9.8883202461778708E-6</v>
      </c>
      <c r="H362" s="21">
        <f t="shared" si="30"/>
        <v>12.6</v>
      </c>
      <c r="I362" s="21">
        <v>12.6</v>
      </c>
      <c r="J362" s="23" t="s">
        <v>24</v>
      </c>
      <c r="K362" s="23" t="s">
        <v>24</v>
      </c>
      <c r="L362" s="22">
        <v>1.7898502532681001E-4</v>
      </c>
      <c r="M362" s="134">
        <f t="shared" si="31"/>
        <v>1.7898502532681136E-4</v>
      </c>
      <c r="N362" s="231">
        <f t="shared" si="32"/>
        <v>-1.3552527156068805E-18</v>
      </c>
    </row>
    <row r="363" spans="2:14" x14ac:dyDescent="0.45">
      <c r="B363" s="12">
        <v>13</v>
      </c>
      <c r="C363" s="111">
        <v>2</v>
      </c>
      <c r="D363" s="12">
        <v>15</v>
      </c>
      <c r="E363" s="22">
        <f t="shared" si="28"/>
        <v>7.9106561969422939E-5</v>
      </c>
      <c r="F363" s="129">
        <f t="shared" si="29"/>
        <v>0</v>
      </c>
      <c r="G363" s="22">
        <v>7.9106561969422993E-5</v>
      </c>
      <c r="H363" s="21">
        <f t="shared" si="30"/>
        <v>9.8000000000000007</v>
      </c>
      <c r="I363" s="21">
        <v>9.8000000000000007</v>
      </c>
      <c r="J363" s="23" t="s">
        <v>24</v>
      </c>
      <c r="K363" s="23" t="s">
        <v>24</v>
      </c>
      <c r="L363" s="22">
        <v>1.8849834558998201E-3</v>
      </c>
      <c r="M363" s="134">
        <f t="shared" si="31"/>
        <v>1.8849834558998196E-3</v>
      </c>
      <c r="N363" s="231">
        <f t="shared" si="32"/>
        <v>0</v>
      </c>
    </row>
    <row r="364" spans="2:14" x14ac:dyDescent="0.45">
      <c r="B364" s="12">
        <v>13</v>
      </c>
      <c r="C364" s="111">
        <v>3</v>
      </c>
      <c r="D364" s="12">
        <v>14</v>
      </c>
      <c r="E364" s="22">
        <f t="shared" si="28"/>
        <v>3.9553280984711464E-4</v>
      </c>
      <c r="F364" s="129">
        <f t="shared" si="29"/>
        <v>0</v>
      </c>
      <c r="G364" s="22">
        <v>3.9553280984711502E-4</v>
      </c>
      <c r="H364" s="21">
        <f t="shared" si="30"/>
        <v>7.4</v>
      </c>
      <c r="I364" s="21">
        <v>7.4</v>
      </c>
      <c r="J364" s="23" t="s">
        <v>24</v>
      </c>
      <c r="K364" s="23" t="s">
        <v>24</v>
      </c>
      <c r="L364" s="22">
        <v>1.1004749377263499E-2</v>
      </c>
      <c r="M364" s="134">
        <f t="shared" si="31"/>
        <v>1.1004749377263576E-2</v>
      </c>
      <c r="N364" s="231">
        <f t="shared" si="32"/>
        <v>-7.6327832942979512E-17</v>
      </c>
    </row>
    <row r="365" spans="2:14" x14ac:dyDescent="0.45">
      <c r="B365" s="12">
        <v>13</v>
      </c>
      <c r="C365" s="111">
        <v>4</v>
      </c>
      <c r="D365" s="12">
        <v>13</v>
      </c>
      <c r="E365" s="22">
        <f t="shared" si="28"/>
        <v>1.3843648344649014E-3</v>
      </c>
      <c r="F365" s="129">
        <f t="shared" si="29"/>
        <v>0</v>
      </c>
      <c r="G365" s="22">
        <v>1.3843648344649001E-3</v>
      </c>
      <c r="H365" s="21">
        <f t="shared" si="30"/>
        <v>5.4</v>
      </c>
      <c r="I365" s="21">
        <v>5.4</v>
      </c>
      <c r="J365" s="23" t="s">
        <v>24</v>
      </c>
      <c r="K365" s="23" t="s">
        <v>24</v>
      </c>
      <c r="L365" s="22">
        <v>4.2582668608782702E-2</v>
      </c>
      <c r="M365" s="134">
        <f t="shared" si="31"/>
        <v>4.2582668608782653E-2</v>
      </c>
      <c r="N365" s="231">
        <f t="shared" si="32"/>
        <v>0</v>
      </c>
    </row>
    <row r="366" spans="2:14" x14ac:dyDescent="0.45">
      <c r="B366" s="12">
        <v>13</v>
      </c>
      <c r="C366" s="111">
        <v>5</v>
      </c>
      <c r="D366" s="12">
        <v>12</v>
      </c>
      <c r="E366" s="22">
        <f t="shared" si="28"/>
        <v>3.5993485696087435E-3</v>
      </c>
      <c r="F366" s="129">
        <f t="shared" si="29"/>
        <v>-3.4694469519536142E-18</v>
      </c>
      <c r="G366" s="22">
        <v>3.59934856960874E-3</v>
      </c>
      <c r="H366" s="21">
        <f t="shared" si="30"/>
        <v>3.8</v>
      </c>
      <c r="I366" s="21">
        <v>3.8</v>
      </c>
      <c r="J366" s="23" t="s">
        <v>24</v>
      </c>
      <c r="K366" s="23" t="s">
        <v>24</v>
      </c>
      <c r="L366" s="22">
        <v>0.118498116054793</v>
      </c>
      <c r="M366" s="134">
        <f t="shared" si="31"/>
        <v>0.11849811605479371</v>
      </c>
      <c r="N366" s="231">
        <f t="shared" si="32"/>
        <v>-7.0776717819853729E-16</v>
      </c>
    </row>
    <row r="367" spans="2:14" x14ac:dyDescent="0.45">
      <c r="B367" s="12">
        <v>13</v>
      </c>
      <c r="C367" s="111">
        <v>6</v>
      </c>
      <c r="D367" s="12">
        <v>11</v>
      </c>
      <c r="E367" s="22">
        <f t="shared" si="28"/>
        <v>7.1986971392174869E-3</v>
      </c>
      <c r="F367" s="129">
        <f t="shared" si="29"/>
        <v>0</v>
      </c>
      <c r="G367" s="22">
        <v>7.1986971392174904E-3</v>
      </c>
      <c r="H367" s="21">
        <f t="shared" si="30"/>
        <v>2.6</v>
      </c>
      <c r="I367" s="21">
        <v>2.6</v>
      </c>
      <c r="J367" s="23" t="s">
        <v>27</v>
      </c>
      <c r="K367" s="23" t="s">
        <v>24</v>
      </c>
      <c r="L367" s="22">
        <v>0.24803295134195899</v>
      </c>
      <c r="M367" s="134">
        <f t="shared" si="31"/>
        <v>0.24803295134195955</v>
      </c>
      <c r="N367" s="231">
        <f t="shared" si="32"/>
        <v>-5.5511151231257827E-16</v>
      </c>
    </row>
    <row r="368" spans="2:14" x14ac:dyDescent="0.45">
      <c r="B368" s="12">
        <v>13</v>
      </c>
      <c r="C368" s="111">
        <v>7</v>
      </c>
      <c r="D368" s="12">
        <v>10</v>
      </c>
      <c r="E368" s="22">
        <f t="shared" si="28"/>
        <v>1.131223836162748E-2</v>
      </c>
      <c r="F368" s="129">
        <f t="shared" si="29"/>
        <v>1.9081958235744878E-17</v>
      </c>
      <c r="G368" s="22">
        <v>1.1312238361627499E-2</v>
      </c>
      <c r="H368" s="21">
        <f t="shared" si="30"/>
        <v>1.8</v>
      </c>
      <c r="I368" s="21">
        <v>1.8</v>
      </c>
      <c r="J368" s="23"/>
      <c r="K368" s="23"/>
      <c r="L368" s="22">
        <v>0.40091300092771298</v>
      </c>
      <c r="M368" s="134">
        <f t="shared" si="31"/>
        <v>0.40091300092771343</v>
      </c>
      <c r="N368" s="231">
        <f t="shared" si="32"/>
        <v>-4.4408920985006262E-16</v>
      </c>
    </row>
    <row r="369" spans="2:14" x14ac:dyDescent="0.45">
      <c r="B369" s="12">
        <v>13</v>
      </c>
      <c r="C369" s="111">
        <v>8</v>
      </c>
      <c r="D369" s="12">
        <v>9</v>
      </c>
      <c r="E369" s="22">
        <f t="shared" si="28"/>
        <v>1.4140297952034349E-2</v>
      </c>
      <c r="F369" s="129">
        <f t="shared" si="29"/>
        <v>5.2041704279304213E-17</v>
      </c>
      <c r="G369" s="22">
        <v>1.4140297952034401E-2</v>
      </c>
      <c r="H369" s="21">
        <f t="shared" si="30"/>
        <v>1.4</v>
      </c>
      <c r="I369" s="21">
        <v>1.4</v>
      </c>
      <c r="J369" s="23"/>
      <c r="K369" s="23"/>
      <c r="L369" s="22">
        <v>0.50796517513200301</v>
      </c>
      <c r="M369" s="134">
        <f t="shared" si="31"/>
        <v>0.50796517513200246</v>
      </c>
      <c r="N369" s="231">
        <f t="shared" si="32"/>
        <v>0</v>
      </c>
    </row>
    <row r="370" spans="2:14" x14ac:dyDescent="0.45">
      <c r="B370" s="12">
        <v>13</v>
      </c>
      <c r="C370" s="111">
        <v>9</v>
      </c>
      <c r="D370" s="12">
        <v>8</v>
      </c>
      <c r="E370" s="22">
        <f t="shared" si="28"/>
        <v>1.4140297952034349E-2</v>
      </c>
      <c r="F370" s="129">
        <f t="shared" si="29"/>
        <v>5.2041704279304213E-17</v>
      </c>
      <c r="G370" s="22">
        <v>1.4140297952034401E-2</v>
      </c>
      <c r="H370" s="21">
        <f t="shared" si="30"/>
        <v>1.4</v>
      </c>
      <c r="I370" s="21">
        <v>1.4</v>
      </c>
      <c r="J370" s="23"/>
      <c r="K370" s="23"/>
      <c r="L370" s="22">
        <v>0.50796517513200301</v>
      </c>
      <c r="M370" s="134">
        <f t="shared" si="31"/>
        <v>0.50796517513200246</v>
      </c>
      <c r="N370" s="231">
        <f t="shared" si="32"/>
        <v>0</v>
      </c>
    </row>
    <row r="371" spans="2:14" x14ac:dyDescent="0.45">
      <c r="B371" s="12">
        <v>13</v>
      </c>
      <c r="C371" s="111">
        <v>10</v>
      </c>
      <c r="D371" s="12">
        <v>7</v>
      </c>
      <c r="E371" s="22">
        <f t="shared" si="28"/>
        <v>1.131223836162748E-2</v>
      </c>
      <c r="F371" s="129">
        <f t="shared" si="29"/>
        <v>1.9081958235744878E-17</v>
      </c>
      <c r="G371" s="22">
        <v>1.1312238361627499E-2</v>
      </c>
      <c r="H371" s="21">
        <f t="shared" si="30"/>
        <v>1.8</v>
      </c>
      <c r="I371" s="21">
        <v>1.8</v>
      </c>
      <c r="J371" s="23"/>
      <c r="K371" s="23"/>
      <c r="L371" s="22">
        <v>0.40091300092771298</v>
      </c>
      <c r="M371" s="134">
        <f t="shared" si="31"/>
        <v>0.40091300092771343</v>
      </c>
      <c r="N371" s="231">
        <f t="shared" si="32"/>
        <v>-4.4408920985006262E-16</v>
      </c>
    </row>
    <row r="372" spans="2:14" x14ac:dyDescent="0.45">
      <c r="B372" s="12">
        <v>13</v>
      </c>
      <c r="C372" s="111">
        <v>11</v>
      </c>
      <c r="D372" s="12">
        <v>6</v>
      </c>
      <c r="E372" s="22">
        <f t="shared" si="28"/>
        <v>7.1986971392174869E-3</v>
      </c>
      <c r="F372" s="129">
        <f t="shared" si="29"/>
        <v>0</v>
      </c>
      <c r="G372" s="22">
        <v>7.1986971392174904E-3</v>
      </c>
      <c r="H372" s="21">
        <f t="shared" si="30"/>
        <v>2.6</v>
      </c>
      <c r="I372" s="21">
        <v>2.6</v>
      </c>
      <c r="J372" s="23" t="s">
        <v>27</v>
      </c>
      <c r="K372" s="23" t="s">
        <v>24</v>
      </c>
      <c r="L372" s="22">
        <v>0.24803295134195899</v>
      </c>
      <c r="M372" s="134">
        <f t="shared" si="31"/>
        <v>0.2480329513419596</v>
      </c>
      <c r="N372" s="231">
        <f t="shared" si="32"/>
        <v>-6.106226635438361E-16</v>
      </c>
    </row>
    <row r="373" spans="2:14" x14ac:dyDescent="0.45">
      <c r="B373" s="12">
        <v>13</v>
      </c>
      <c r="C373" s="111">
        <v>12</v>
      </c>
      <c r="D373" s="12">
        <v>5</v>
      </c>
      <c r="E373" s="22">
        <f t="shared" si="28"/>
        <v>3.5993485696087435E-3</v>
      </c>
      <c r="F373" s="129">
        <f t="shared" si="29"/>
        <v>-3.4694469519536142E-18</v>
      </c>
      <c r="G373" s="22">
        <v>3.59934856960874E-3</v>
      </c>
      <c r="H373" s="21">
        <f t="shared" si="30"/>
        <v>3.8</v>
      </c>
      <c r="I373" s="21">
        <v>3.8</v>
      </c>
      <c r="J373" s="23" t="s">
        <v>24</v>
      </c>
      <c r="K373" s="23" t="s">
        <v>24</v>
      </c>
      <c r="L373" s="22">
        <v>0.118498116054793</v>
      </c>
      <c r="M373" s="134">
        <f t="shared" si="31"/>
        <v>0.11849811605479371</v>
      </c>
      <c r="N373" s="231">
        <f t="shared" si="32"/>
        <v>-7.0776717819853729E-16</v>
      </c>
    </row>
    <row r="374" spans="2:14" x14ac:dyDescent="0.45">
      <c r="B374" s="12">
        <v>13</v>
      </c>
      <c r="C374" s="111">
        <v>13</v>
      </c>
      <c r="D374" s="12">
        <v>4</v>
      </c>
      <c r="E374" s="22">
        <f t="shared" si="28"/>
        <v>1.3843648344649014E-3</v>
      </c>
      <c r="F374" s="129">
        <f t="shared" si="29"/>
        <v>0</v>
      </c>
      <c r="G374" s="22">
        <v>1.3843648344649001E-3</v>
      </c>
      <c r="H374" s="21">
        <f t="shared" si="30"/>
        <v>5.4</v>
      </c>
      <c r="I374" s="21">
        <v>5.4</v>
      </c>
      <c r="J374" s="23" t="s">
        <v>24</v>
      </c>
      <c r="K374" s="23" t="s">
        <v>24</v>
      </c>
      <c r="L374" s="22">
        <v>4.2582668608782702E-2</v>
      </c>
      <c r="M374" s="134">
        <f t="shared" si="31"/>
        <v>4.2582668608782653E-2</v>
      </c>
      <c r="N374" s="231">
        <f t="shared" si="32"/>
        <v>0</v>
      </c>
    </row>
    <row r="375" spans="2:14" x14ac:dyDescent="0.45">
      <c r="B375" s="12">
        <v>13</v>
      </c>
      <c r="C375" s="111">
        <v>14</v>
      </c>
      <c r="D375" s="12">
        <v>3</v>
      </c>
      <c r="E375" s="22">
        <f t="shared" si="28"/>
        <v>3.9553280984711464E-4</v>
      </c>
      <c r="F375" s="129">
        <f t="shared" si="29"/>
        <v>0</v>
      </c>
      <c r="G375" s="22">
        <v>3.9553280984711502E-4</v>
      </c>
      <c r="H375" s="21">
        <f t="shared" si="30"/>
        <v>7.4</v>
      </c>
      <c r="I375" s="21">
        <v>7.4</v>
      </c>
      <c r="J375" s="23" t="s">
        <v>24</v>
      </c>
      <c r="K375" s="23" t="s">
        <v>24</v>
      </c>
      <c r="L375" s="22">
        <v>1.1004749377263499E-2</v>
      </c>
      <c r="M375" s="134">
        <f t="shared" si="31"/>
        <v>1.1004749377263576E-2</v>
      </c>
      <c r="N375" s="231">
        <f t="shared" si="32"/>
        <v>-7.6327832942979512E-17</v>
      </c>
    </row>
    <row r="376" spans="2:14" x14ac:dyDescent="0.45">
      <c r="B376" s="12">
        <v>13</v>
      </c>
      <c r="C376" s="111">
        <v>15</v>
      </c>
      <c r="D376" s="12">
        <v>2</v>
      </c>
      <c r="E376" s="22">
        <f t="shared" si="28"/>
        <v>7.9106561969422939E-5</v>
      </c>
      <c r="F376" s="129">
        <f t="shared" si="29"/>
        <v>0</v>
      </c>
      <c r="G376" s="22">
        <v>7.9106561969422993E-5</v>
      </c>
      <c r="H376" s="21">
        <f t="shared" si="30"/>
        <v>9.8000000000000007</v>
      </c>
      <c r="I376" s="21">
        <v>9.8000000000000007</v>
      </c>
      <c r="J376" s="23" t="s">
        <v>24</v>
      </c>
      <c r="K376" s="23" t="s">
        <v>24</v>
      </c>
      <c r="L376" s="22">
        <v>1.8849834558998201E-3</v>
      </c>
      <c r="M376" s="134">
        <f t="shared" si="31"/>
        <v>1.8849834558998196E-3</v>
      </c>
      <c r="N376" s="231">
        <f t="shared" si="32"/>
        <v>0</v>
      </c>
    </row>
    <row r="377" spans="2:14" x14ac:dyDescent="0.45">
      <c r="B377" s="12">
        <v>13</v>
      </c>
      <c r="C377" s="111">
        <v>16</v>
      </c>
      <c r="D377" s="12">
        <v>1</v>
      </c>
      <c r="E377" s="22">
        <f t="shared" si="28"/>
        <v>9.8883202461778674E-6</v>
      </c>
      <c r="F377" s="129">
        <f t="shared" si="29"/>
        <v>0</v>
      </c>
      <c r="G377" s="22">
        <v>9.8883202461778708E-6</v>
      </c>
      <c r="H377" s="21">
        <f t="shared" si="30"/>
        <v>12.6</v>
      </c>
      <c r="I377" s="21">
        <v>12.6</v>
      </c>
      <c r="J377" s="23" t="s">
        <v>24</v>
      </c>
      <c r="K377" s="23" t="s">
        <v>24</v>
      </c>
      <c r="L377" s="22">
        <v>1.7898502532681001E-4</v>
      </c>
      <c r="M377" s="134">
        <f t="shared" si="31"/>
        <v>1.7898502532681136E-4</v>
      </c>
      <c r="N377" s="231">
        <f t="shared" si="32"/>
        <v>-1.3552527156068805E-18</v>
      </c>
    </row>
    <row r="378" spans="2:14" x14ac:dyDescent="0.45">
      <c r="B378" s="12">
        <v>13</v>
      </c>
      <c r="C378" s="111">
        <v>17</v>
      </c>
      <c r="D378" s="195">
        <v>0</v>
      </c>
      <c r="E378" s="22">
        <f t="shared" si="28"/>
        <v>5.8166589683399217E-7</v>
      </c>
      <c r="F378" s="129">
        <f t="shared" si="29"/>
        <v>0</v>
      </c>
      <c r="G378" s="22">
        <v>5.8166589683399196E-7</v>
      </c>
      <c r="H378" s="21">
        <f t="shared" si="30"/>
        <v>15.8</v>
      </c>
      <c r="I378" s="21">
        <v>15.8</v>
      </c>
      <c r="J378" s="23" t="s">
        <v>24</v>
      </c>
      <c r="K378" s="23" t="s">
        <v>24</v>
      </c>
      <c r="L378" s="22">
        <v>3.99121163143E-6</v>
      </c>
      <c r="M378" s="207">
        <f>1/(((B378/10)^B378)*((C378/10)^C378))</f>
        <v>3.9912116314326267E-6</v>
      </c>
      <c r="N378" s="231">
        <f t="shared" si="32"/>
        <v>-2.6266491694355854E-18</v>
      </c>
    </row>
    <row r="379" spans="2:14" x14ac:dyDescent="0.45">
      <c r="B379" s="12">
        <v>14</v>
      </c>
      <c r="C379" s="195">
        <v>0</v>
      </c>
      <c r="D379" s="12">
        <v>16</v>
      </c>
      <c r="E379" s="22">
        <f t="shared" si="28"/>
        <v>7.0630858901270469E-7</v>
      </c>
      <c r="F379" s="129">
        <f t="shared" si="29"/>
        <v>0</v>
      </c>
      <c r="G379" s="22">
        <v>7.0630858901270501E-7</v>
      </c>
      <c r="H379" s="21">
        <f t="shared" si="30"/>
        <v>15.2</v>
      </c>
      <c r="I379" s="21">
        <v>15.2</v>
      </c>
      <c r="J379" s="23" t="s">
        <v>24</v>
      </c>
      <c r="K379" s="23" t="s">
        <v>24</v>
      </c>
      <c r="L379" s="22">
        <v>4.8785164979900002E-6</v>
      </c>
      <c r="M379" s="207">
        <f>1/(((B379/10)^B379)*((D379/10)^D379))</f>
        <v>4.8785164979911624E-6</v>
      </c>
      <c r="N379" s="231">
        <f t="shared" si="32"/>
        <v>-1.1621292036329001E-18</v>
      </c>
    </row>
    <row r="380" spans="2:14" x14ac:dyDescent="0.45">
      <c r="B380" s="12">
        <v>14</v>
      </c>
      <c r="C380" s="111">
        <v>1</v>
      </c>
      <c r="D380" s="12">
        <v>15</v>
      </c>
      <c r="E380" s="22">
        <f t="shared" si="28"/>
        <v>1.1300937424203275E-5</v>
      </c>
      <c r="F380" s="129">
        <f t="shared" si="29"/>
        <v>2.541098841762901E-20</v>
      </c>
      <c r="G380" s="22">
        <v>1.1300937424203301E-5</v>
      </c>
      <c r="H380" s="21">
        <f t="shared" si="30"/>
        <v>12.2</v>
      </c>
      <c r="I380" s="21">
        <v>12.2</v>
      </c>
      <c r="J380" s="23" t="s">
        <v>24</v>
      </c>
      <c r="K380" s="23" t="s">
        <v>24</v>
      </c>
      <c r="L380" s="22">
        <v>2.0551267618633E-4</v>
      </c>
      <c r="M380" s="134">
        <f t="shared" si="31"/>
        <v>2.0551267618632786E-4</v>
      </c>
      <c r="N380" s="231">
        <f t="shared" si="32"/>
        <v>2.1412992906588713E-18</v>
      </c>
    </row>
    <row r="381" spans="2:14" x14ac:dyDescent="0.45">
      <c r="B381" s="12">
        <v>14</v>
      </c>
      <c r="C381" s="111">
        <v>2</v>
      </c>
      <c r="D381" s="12">
        <v>14</v>
      </c>
      <c r="E381" s="22">
        <f t="shared" si="28"/>
        <v>8.475703068152457E-5</v>
      </c>
      <c r="F381" s="129">
        <f t="shared" si="29"/>
        <v>0</v>
      </c>
      <c r="G381" s="22">
        <v>8.4757030681524597E-5</v>
      </c>
      <c r="H381" s="21">
        <f t="shared" si="30"/>
        <v>9.6</v>
      </c>
      <c r="I381" s="21">
        <v>9.6</v>
      </c>
      <c r="J381" s="23" t="s">
        <v>24</v>
      </c>
      <c r="K381" s="23" t="s">
        <v>24</v>
      </c>
      <c r="L381" s="22">
        <v>2.0246735515592499E-3</v>
      </c>
      <c r="M381" s="134">
        <f t="shared" si="31"/>
        <v>2.0246735515592564E-3</v>
      </c>
      <c r="N381" s="231">
        <f t="shared" si="32"/>
        <v>-6.5052130349130266E-18</v>
      </c>
    </row>
    <row r="382" spans="2:14" x14ac:dyDescent="0.45">
      <c r="B382" s="12">
        <v>14</v>
      </c>
      <c r="C382" s="111">
        <v>3</v>
      </c>
      <c r="D382" s="12">
        <v>13</v>
      </c>
      <c r="E382" s="22">
        <f t="shared" si="28"/>
        <v>3.9553280984711464E-4</v>
      </c>
      <c r="F382" s="129">
        <f t="shared" si="29"/>
        <v>0</v>
      </c>
      <c r="G382" s="22">
        <v>3.9553280984711502E-4</v>
      </c>
      <c r="H382" s="21">
        <f t="shared" si="30"/>
        <v>7.4</v>
      </c>
      <c r="I382" s="21">
        <v>7.4</v>
      </c>
      <c r="J382" s="23" t="s">
        <v>24</v>
      </c>
      <c r="K382" s="23" t="s">
        <v>24</v>
      </c>
      <c r="L382" s="22">
        <v>1.1004749377263499E-2</v>
      </c>
      <c r="M382" s="134">
        <f t="shared" si="31"/>
        <v>1.1004749377263577E-2</v>
      </c>
      <c r="N382" s="231">
        <f t="shared" si="32"/>
        <v>-7.8062556418956319E-17</v>
      </c>
    </row>
    <row r="383" spans="2:14" x14ac:dyDescent="0.45">
      <c r="B383" s="12">
        <v>14</v>
      </c>
      <c r="C383" s="111">
        <v>4</v>
      </c>
      <c r="D383" s="12">
        <v>12</v>
      </c>
      <c r="E383" s="22">
        <f t="shared" si="28"/>
        <v>1.2854816320031226E-3</v>
      </c>
      <c r="F383" s="129">
        <f t="shared" si="29"/>
        <v>-2.6020852139652106E-18</v>
      </c>
      <c r="G383" s="22">
        <v>1.28548163200312E-3</v>
      </c>
      <c r="H383" s="21">
        <f t="shared" si="30"/>
        <v>5.6</v>
      </c>
      <c r="I383" s="21">
        <v>5.6</v>
      </c>
      <c r="J383" s="23" t="s">
        <v>24</v>
      </c>
      <c r="K383" s="23" t="s">
        <v>24</v>
      </c>
      <c r="L383" s="22">
        <v>3.9426895576119399E-2</v>
      </c>
      <c r="M383" s="134">
        <f t="shared" si="31"/>
        <v>3.942689557611951E-2</v>
      </c>
      <c r="N383" s="231">
        <f t="shared" si="32"/>
        <v>-1.1102230246251565E-16</v>
      </c>
    </row>
    <row r="384" spans="2:14" x14ac:dyDescent="0.45">
      <c r="B384" s="12">
        <v>14</v>
      </c>
      <c r="C384" s="111">
        <v>5</v>
      </c>
      <c r="D384" s="12">
        <v>11</v>
      </c>
      <c r="E384" s="22">
        <f t="shared" si="28"/>
        <v>3.0851559168074945E-3</v>
      </c>
      <c r="F384" s="129">
        <f t="shared" si="29"/>
        <v>5.6378512969246231E-18</v>
      </c>
      <c r="G384" s="22">
        <v>3.0851559168075002E-3</v>
      </c>
      <c r="H384" s="21">
        <f t="shared" si="30"/>
        <v>4.2</v>
      </c>
      <c r="I384" s="21">
        <v>4.2</v>
      </c>
      <c r="J384" s="23" t="s">
        <v>24</v>
      </c>
      <c r="K384" s="23" t="s">
        <v>24</v>
      </c>
      <c r="L384" s="22">
        <v>0.100934106318291</v>
      </c>
      <c r="M384" s="134">
        <f t="shared" si="31"/>
        <v>0.10093410631829174</v>
      </c>
      <c r="N384" s="231">
        <f t="shared" si="32"/>
        <v>-7.3552275381416621E-16</v>
      </c>
    </row>
    <row r="385" spans="2:14" x14ac:dyDescent="0.45">
      <c r="B385" s="12">
        <v>14</v>
      </c>
      <c r="C385" s="111">
        <v>6</v>
      </c>
      <c r="D385" s="12">
        <v>10</v>
      </c>
      <c r="E385" s="22">
        <f t="shared" si="28"/>
        <v>5.6561191808137401E-3</v>
      </c>
      <c r="F385" s="129">
        <f t="shared" si="29"/>
        <v>0</v>
      </c>
      <c r="G385" s="22">
        <v>5.6561191808137401E-3</v>
      </c>
      <c r="H385" s="21">
        <f t="shared" si="30"/>
        <v>3.2</v>
      </c>
      <c r="I385" s="21">
        <v>3.2</v>
      </c>
      <c r="J385" s="23" t="s">
        <v>24</v>
      </c>
      <c r="K385" s="23" t="s">
        <v>24</v>
      </c>
      <c r="L385" s="22">
        <v>0.192885685223364</v>
      </c>
      <c r="M385" s="134">
        <f t="shared" si="31"/>
        <v>0.19288568522336444</v>
      </c>
      <c r="N385" s="231">
        <f t="shared" si="32"/>
        <v>-4.4408920985006262E-16</v>
      </c>
    </row>
    <row r="386" spans="2:14" x14ac:dyDescent="0.45">
      <c r="B386" s="12">
        <v>14</v>
      </c>
      <c r="C386" s="111">
        <v>7</v>
      </c>
      <c r="D386" s="12">
        <v>9</v>
      </c>
      <c r="E386" s="22">
        <f t="shared" si="28"/>
        <v>8.0801702583053418E-3</v>
      </c>
      <c r="F386" s="129">
        <f t="shared" si="29"/>
        <v>0</v>
      </c>
      <c r="G386" s="22">
        <v>8.0801702583053504E-3</v>
      </c>
      <c r="H386" s="21">
        <f t="shared" si="30"/>
        <v>2.6</v>
      </c>
      <c r="I386" s="21">
        <v>2.6</v>
      </c>
      <c r="J386" s="23" t="s">
        <v>27</v>
      </c>
      <c r="K386" s="23" t="s">
        <v>27</v>
      </c>
      <c r="L386" s="22">
        <v>0.282058138554733</v>
      </c>
      <c r="M386" s="134">
        <f t="shared" si="31"/>
        <v>0.28205813855473377</v>
      </c>
      <c r="N386" s="231">
        <f t="shared" si="32"/>
        <v>-7.7715611723760958E-16</v>
      </c>
    </row>
    <row r="387" spans="2:14" x14ac:dyDescent="0.45">
      <c r="B387" s="12">
        <v>14</v>
      </c>
      <c r="C387" s="111">
        <v>8</v>
      </c>
      <c r="D387" s="12">
        <v>8</v>
      </c>
      <c r="E387" s="22">
        <f t="shared" si="28"/>
        <v>9.0901915405935101E-3</v>
      </c>
      <c r="F387" s="129">
        <f t="shared" si="29"/>
        <v>0</v>
      </c>
      <c r="G387" s="22">
        <v>9.0901915405935101E-3</v>
      </c>
      <c r="H387" s="21">
        <f t="shared" si="30"/>
        <v>2.4</v>
      </c>
      <c r="I387" s="21">
        <v>2.4</v>
      </c>
      <c r="J387" s="23"/>
      <c r="K387" s="23"/>
      <c r="L387" s="22">
        <v>0.31971845721234898</v>
      </c>
      <c r="M387" s="134">
        <f t="shared" si="31"/>
        <v>0.31971845721234882</v>
      </c>
      <c r="N387" s="231">
        <f t="shared" si="32"/>
        <v>0</v>
      </c>
    </row>
    <row r="388" spans="2:14" x14ac:dyDescent="0.45">
      <c r="B388" s="12">
        <v>14</v>
      </c>
      <c r="C388" s="111">
        <v>9</v>
      </c>
      <c r="D388" s="12">
        <v>7</v>
      </c>
      <c r="E388" s="22">
        <f t="shared" si="28"/>
        <v>8.0801702583053418E-3</v>
      </c>
      <c r="F388" s="129">
        <f t="shared" si="29"/>
        <v>0</v>
      </c>
      <c r="G388" s="22">
        <v>8.0801702583053504E-3</v>
      </c>
      <c r="H388" s="21">
        <f t="shared" si="30"/>
        <v>2.6</v>
      </c>
      <c r="I388" s="21">
        <v>2.6</v>
      </c>
      <c r="J388" s="23" t="s">
        <v>27</v>
      </c>
      <c r="K388" s="23" t="s">
        <v>27</v>
      </c>
      <c r="L388" s="22">
        <v>0.282058138554733</v>
      </c>
      <c r="M388" s="134">
        <f t="shared" si="31"/>
        <v>0.28205813855473377</v>
      </c>
      <c r="N388" s="231">
        <f t="shared" si="32"/>
        <v>-7.7715611723760958E-16</v>
      </c>
    </row>
    <row r="389" spans="2:14" x14ac:dyDescent="0.45">
      <c r="B389" s="12">
        <v>14</v>
      </c>
      <c r="C389" s="111">
        <v>10</v>
      </c>
      <c r="D389" s="12">
        <v>6</v>
      </c>
      <c r="E389" s="22">
        <f t="shared" si="28"/>
        <v>5.6561191808137401E-3</v>
      </c>
      <c r="F389" s="129">
        <f t="shared" si="29"/>
        <v>0</v>
      </c>
      <c r="G389" s="22">
        <v>5.6561191808137401E-3</v>
      </c>
      <c r="H389" s="21">
        <f t="shared" si="30"/>
        <v>3.2</v>
      </c>
      <c r="I389" s="21">
        <v>3.2</v>
      </c>
      <c r="J389" s="23" t="s">
        <v>24</v>
      </c>
      <c r="K389" s="23" t="s">
        <v>24</v>
      </c>
      <c r="L389" s="22">
        <v>0.192885685223364</v>
      </c>
      <c r="M389" s="134">
        <f t="shared" si="31"/>
        <v>0.19288568522336444</v>
      </c>
      <c r="N389" s="231">
        <f t="shared" si="32"/>
        <v>-4.4408920985006262E-16</v>
      </c>
    </row>
    <row r="390" spans="2:14" x14ac:dyDescent="0.45">
      <c r="B390" s="12">
        <v>14</v>
      </c>
      <c r="C390" s="111">
        <v>11</v>
      </c>
      <c r="D390" s="12">
        <v>5</v>
      </c>
      <c r="E390" s="22">
        <f t="shared" si="28"/>
        <v>3.0851559168074945E-3</v>
      </c>
      <c r="F390" s="129">
        <f t="shared" si="29"/>
        <v>5.6378512969246231E-18</v>
      </c>
      <c r="G390" s="22">
        <v>3.0851559168075002E-3</v>
      </c>
      <c r="H390" s="21">
        <f t="shared" si="30"/>
        <v>4.2</v>
      </c>
      <c r="I390" s="21">
        <v>4.2</v>
      </c>
      <c r="J390" s="23" t="s">
        <v>24</v>
      </c>
      <c r="K390" s="23" t="s">
        <v>24</v>
      </c>
      <c r="L390" s="22">
        <v>0.100934106318291</v>
      </c>
      <c r="M390" s="134">
        <f t="shared" si="31"/>
        <v>0.10093410631829174</v>
      </c>
      <c r="N390" s="231">
        <f t="shared" si="32"/>
        <v>-7.3552275381416621E-16</v>
      </c>
    </row>
    <row r="391" spans="2:14" x14ac:dyDescent="0.45">
      <c r="B391" s="12">
        <v>14</v>
      </c>
      <c r="C391" s="111">
        <v>12</v>
      </c>
      <c r="D391" s="12">
        <v>4</v>
      </c>
      <c r="E391" s="22">
        <f t="shared" si="28"/>
        <v>1.2854816320031226E-3</v>
      </c>
      <c r="F391" s="129">
        <f t="shared" si="29"/>
        <v>-2.6020852139652106E-18</v>
      </c>
      <c r="G391" s="22">
        <v>1.28548163200312E-3</v>
      </c>
      <c r="H391" s="21">
        <f t="shared" si="30"/>
        <v>5.6</v>
      </c>
      <c r="I391" s="21">
        <v>5.6</v>
      </c>
      <c r="J391" s="23" t="s">
        <v>24</v>
      </c>
      <c r="K391" s="23" t="s">
        <v>24</v>
      </c>
      <c r="L391" s="22">
        <v>3.9426895576119399E-2</v>
      </c>
      <c r="M391" s="134">
        <f t="shared" si="31"/>
        <v>3.9426895576119503E-2</v>
      </c>
      <c r="N391" s="231">
        <f t="shared" si="32"/>
        <v>-1.0408340855860843E-16</v>
      </c>
    </row>
    <row r="392" spans="2:14" x14ac:dyDescent="0.45">
      <c r="B392" s="12">
        <v>14</v>
      </c>
      <c r="C392" s="111">
        <v>13</v>
      </c>
      <c r="D392" s="12">
        <v>3</v>
      </c>
      <c r="E392" s="22">
        <f t="shared" si="28"/>
        <v>3.9553280984711464E-4</v>
      </c>
      <c r="F392" s="129">
        <f t="shared" si="29"/>
        <v>0</v>
      </c>
      <c r="G392" s="22">
        <v>3.9553280984711502E-4</v>
      </c>
      <c r="H392" s="21">
        <f t="shared" si="30"/>
        <v>7.4</v>
      </c>
      <c r="I392" s="21">
        <v>7.4</v>
      </c>
      <c r="J392" s="23" t="s">
        <v>24</v>
      </c>
      <c r="K392" s="23" t="s">
        <v>24</v>
      </c>
      <c r="L392" s="22">
        <v>1.1004749377263499E-2</v>
      </c>
      <c r="M392" s="134">
        <f t="shared" si="31"/>
        <v>1.1004749377263576E-2</v>
      </c>
      <c r="N392" s="231">
        <f t="shared" si="32"/>
        <v>-7.6327832942979512E-17</v>
      </c>
    </row>
    <row r="393" spans="2:14" x14ac:dyDescent="0.45">
      <c r="B393" s="12">
        <v>14</v>
      </c>
      <c r="C393" s="111">
        <v>14</v>
      </c>
      <c r="D393" s="12">
        <v>2</v>
      </c>
      <c r="E393" s="22">
        <f t="shared" si="28"/>
        <v>8.475703068152457E-5</v>
      </c>
      <c r="F393" s="129">
        <f t="shared" si="29"/>
        <v>0</v>
      </c>
      <c r="G393" s="22">
        <v>8.4757030681524597E-5</v>
      </c>
      <c r="H393" s="21">
        <f t="shared" si="30"/>
        <v>9.6</v>
      </c>
      <c r="I393" s="21">
        <v>9.6</v>
      </c>
      <c r="J393" s="23" t="s">
        <v>24</v>
      </c>
      <c r="K393" s="23" t="s">
        <v>24</v>
      </c>
      <c r="L393" s="22">
        <v>2.0246735515592499E-3</v>
      </c>
      <c r="M393" s="134">
        <f t="shared" si="31"/>
        <v>2.0246735515592564E-3</v>
      </c>
      <c r="N393" s="231">
        <f t="shared" si="32"/>
        <v>-6.5052130349130266E-18</v>
      </c>
    </row>
    <row r="394" spans="2:14" x14ac:dyDescent="0.45">
      <c r="B394" s="12">
        <v>14</v>
      </c>
      <c r="C394" s="111">
        <v>15</v>
      </c>
      <c r="D394" s="12">
        <v>1</v>
      </c>
      <c r="E394" s="22">
        <f t="shared" si="28"/>
        <v>1.1300937424203275E-5</v>
      </c>
      <c r="F394" s="129">
        <f t="shared" si="29"/>
        <v>2.541098841762901E-20</v>
      </c>
      <c r="G394" s="22">
        <v>1.1300937424203301E-5</v>
      </c>
      <c r="H394" s="21">
        <f t="shared" si="30"/>
        <v>12.2</v>
      </c>
      <c r="I394" s="21">
        <v>12.2</v>
      </c>
      <c r="J394" s="23" t="s">
        <v>24</v>
      </c>
      <c r="K394" s="23" t="s">
        <v>24</v>
      </c>
      <c r="L394" s="22">
        <v>2.0551267618633E-4</v>
      </c>
      <c r="M394" s="134">
        <f t="shared" si="31"/>
        <v>2.0551267618632786E-4</v>
      </c>
      <c r="N394" s="231">
        <f t="shared" si="32"/>
        <v>2.1412992906588713E-18</v>
      </c>
    </row>
    <row r="395" spans="2:14" x14ac:dyDescent="0.45">
      <c r="B395" s="12">
        <v>14</v>
      </c>
      <c r="C395" s="111">
        <v>16</v>
      </c>
      <c r="D395" s="195">
        <v>0</v>
      </c>
      <c r="E395" s="22">
        <f t="shared" si="28"/>
        <v>7.0630858901270469E-7</v>
      </c>
      <c r="F395" s="129">
        <f t="shared" si="29"/>
        <v>0</v>
      </c>
      <c r="G395" s="22">
        <v>7.0630858901270501E-7</v>
      </c>
      <c r="H395" s="21">
        <f t="shared" si="30"/>
        <v>15.2</v>
      </c>
      <c r="I395" s="21">
        <v>15.2</v>
      </c>
      <c r="J395" s="23" t="s">
        <v>24</v>
      </c>
      <c r="K395" s="23" t="s">
        <v>24</v>
      </c>
      <c r="L395" s="22">
        <v>4.8785164979900002E-6</v>
      </c>
      <c r="M395" s="207">
        <f>1/(((B395/10)^B395)*((C395/10)^C395))</f>
        <v>4.8785164979911624E-6</v>
      </c>
      <c r="N395" s="231">
        <f t="shared" si="32"/>
        <v>-1.1621292036329001E-18</v>
      </c>
    </row>
    <row r="396" spans="2:14" x14ac:dyDescent="0.45">
      <c r="B396" s="12">
        <v>15</v>
      </c>
      <c r="C396" s="195">
        <v>0</v>
      </c>
      <c r="D396" s="12">
        <v>15</v>
      </c>
      <c r="E396" s="22">
        <f t="shared" si="28"/>
        <v>7.5339582828021837E-7</v>
      </c>
      <c r="F396" s="129">
        <f t="shared" si="29"/>
        <v>0</v>
      </c>
      <c r="G396" s="22">
        <v>7.53395828280219E-7</v>
      </c>
      <c r="H396" s="21">
        <f t="shared" si="30"/>
        <v>15</v>
      </c>
      <c r="I396" s="21">
        <v>15</v>
      </c>
      <c r="J396" s="23" t="s">
        <v>24</v>
      </c>
      <c r="K396" s="23" t="s">
        <v>24</v>
      </c>
      <c r="L396" s="22">
        <v>5.21509505085E-6</v>
      </c>
      <c r="M396" s="207">
        <f>1/(((B396/10)^B396)*((D396/10)^D396))</f>
        <v>5.2150950508465636E-6</v>
      </c>
      <c r="N396" s="231">
        <f t="shared" si="32"/>
        <v>3.4364126670106965E-18</v>
      </c>
    </row>
    <row r="397" spans="2:14" x14ac:dyDescent="0.45">
      <c r="B397" s="12">
        <v>15</v>
      </c>
      <c r="C397" s="111">
        <v>1</v>
      </c>
      <c r="D397" s="12">
        <v>14</v>
      </c>
      <c r="E397" s="22">
        <f t="shared" si="28"/>
        <v>1.1300937424203275E-5</v>
      </c>
      <c r="F397" s="129">
        <f t="shared" si="29"/>
        <v>2.541098841762901E-20</v>
      </c>
      <c r="G397" s="22">
        <v>1.1300937424203301E-5</v>
      </c>
      <c r="H397" s="21">
        <f t="shared" si="30"/>
        <v>12.2</v>
      </c>
      <c r="I397" s="21">
        <v>12.2</v>
      </c>
      <c r="J397" s="23" t="s">
        <v>24</v>
      </c>
      <c r="K397" s="23" t="s">
        <v>24</v>
      </c>
      <c r="L397" s="22">
        <v>2.0551267618633E-4</v>
      </c>
      <c r="M397" s="134">
        <f t="shared" si="31"/>
        <v>2.0551267618632786E-4</v>
      </c>
      <c r="N397" s="231">
        <f t="shared" si="32"/>
        <v>2.1412992906588713E-18</v>
      </c>
    </row>
    <row r="398" spans="2:14" x14ac:dyDescent="0.45">
      <c r="B398" s="12">
        <v>15</v>
      </c>
      <c r="C398" s="111">
        <v>2</v>
      </c>
      <c r="D398" s="12">
        <v>13</v>
      </c>
      <c r="E398" s="22">
        <f t="shared" si="28"/>
        <v>7.9106561969422939E-5</v>
      </c>
      <c r="F398" s="129">
        <f t="shared" si="29"/>
        <v>0</v>
      </c>
      <c r="G398" s="22">
        <v>7.9106561969422993E-5</v>
      </c>
      <c r="H398" s="21">
        <f t="shared" si="30"/>
        <v>9.8000000000000007</v>
      </c>
      <c r="I398" s="21">
        <v>9.8000000000000007</v>
      </c>
      <c r="J398" s="23" t="s">
        <v>24</v>
      </c>
      <c r="K398" s="23" t="s">
        <v>24</v>
      </c>
      <c r="L398" s="22">
        <v>1.8849834558998201E-3</v>
      </c>
      <c r="M398" s="134">
        <f t="shared" si="31"/>
        <v>1.8849834558998196E-3</v>
      </c>
      <c r="N398" s="231">
        <f t="shared" si="32"/>
        <v>0</v>
      </c>
    </row>
    <row r="399" spans="2:14" x14ac:dyDescent="0.45">
      <c r="B399" s="12">
        <v>15</v>
      </c>
      <c r="C399" s="111">
        <v>3</v>
      </c>
      <c r="D399" s="12">
        <v>12</v>
      </c>
      <c r="E399" s="22">
        <f t="shared" si="28"/>
        <v>3.4279510186749937E-4</v>
      </c>
      <c r="F399" s="129">
        <f t="shared" si="29"/>
        <v>6.5052130349130266E-19</v>
      </c>
      <c r="G399" s="22">
        <v>3.4279510186750002E-4</v>
      </c>
      <c r="H399" s="21">
        <f t="shared" si="30"/>
        <v>7.8</v>
      </c>
      <c r="I399" s="21">
        <v>7.8</v>
      </c>
      <c r="J399" s="23" t="s">
        <v>24</v>
      </c>
      <c r="K399" s="23" t="s">
        <v>24</v>
      </c>
      <c r="L399" s="22">
        <v>9.48620263597434E-3</v>
      </c>
      <c r="M399" s="134">
        <f t="shared" si="31"/>
        <v>9.48620263597434E-3</v>
      </c>
      <c r="N399" s="231">
        <f t="shared" si="32"/>
        <v>0</v>
      </c>
    </row>
    <row r="400" spans="2:14" x14ac:dyDescent="0.45">
      <c r="B400" s="12">
        <v>15</v>
      </c>
      <c r="C400" s="111">
        <v>4</v>
      </c>
      <c r="D400" s="12">
        <v>11</v>
      </c>
      <c r="E400" s="22">
        <f t="shared" si="28"/>
        <v>1.0283853056024981E-3</v>
      </c>
      <c r="F400" s="129">
        <f t="shared" si="29"/>
        <v>1.951563910473908E-18</v>
      </c>
      <c r="G400" s="22">
        <v>1.0283853056025001E-3</v>
      </c>
      <c r="H400" s="21">
        <f t="shared" si="30"/>
        <v>6.2</v>
      </c>
      <c r="I400" s="21">
        <v>6.2</v>
      </c>
      <c r="J400" s="23" t="s">
        <v>24</v>
      </c>
      <c r="K400" s="23" t="s">
        <v>24</v>
      </c>
      <c r="L400" s="22">
        <v>3.1265948781756099E-2</v>
      </c>
      <c r="M400" s="134">
        <f t="shared" si="31"/>
        <v>3.126594878175612E-2</v>
      </c>
      <c r="N400" s="231">
        <f t="shared" si="32"/>
        <v>0</v>
      </c>
    </row>
    <row r="401" spans="2:14" x14ac:dyDescent="0.45">
      <c r="B401" s="12">
        <v>15</v>
      </c>
      <c r="C401" s="111">
        <v>5</v>
      </c>
      <c r="D401" s="12">
        <v>10</v>
      </c>
      <c r="E401" s="22">
        <f t="shared" si="28"/>
        <v>2.262447672325496E-3</v>
      </c>
      <c r="F401" s="129">
        <f t="shared" si="29"/>
        <v>3.903127820947816E-18</v>
      </c>
      <c r="G401" s="22">
        <v>2.2624476723254999E-3</v>
      </c>
      <c r="H401" s="21">
        <f t="shared" si="30"/>
        <v>5</v>
      </c>
      <c r="I401" s="21">
        <v>5</v>
      </c>
      <c r="J401" s="23" t="s">
        <v>24</v>
      </c>
      <c r="K401" s="23" t="s">
        <v>24</v>
      </c>
      <c r="L401" s="22">
        <v>7.3077064336677294E-2</v>
      </c>
      <c r="M401" s="134">
        <f t="shared" si="31"/>
        <v>7.307706433667735E-2</v>
      </c>
      <c r="N401" s="231">
        <f t="shared" si="32"/>
        <v>0</v>
      </c>
    </row>
    <row r="402" spans="2:14" x14ac:dyDescent="0.45">
      <c r="B402" s="12">
        <v>15</v>
      </c>
      <c r="C402" s="111">
        <v>6</v>
      </c>
      <c r="D402" s="12">
        <v>9</v>
      </c>
      <c r="E402" s="22">
        <f t="shared" si="28"/>
        <v>3.7707461205424933E-3</v>
      </c>
      <c r="F402" s="129">
        <f t="shared" si="29"/>
        <v>-3.4694469519536142E-18</v>
      </c>
      <c r="G402" s="22">
        <v>3.7707461205424898E-3</v>
      </c>
      <c r="H402" s="21">
        <f t="shared" si="30"/>
        <v>4.2</v>
      </c>
      <c r="I402" s="21">
        <v>4.2</v>
      </c>
      <c r="J402" s="23" t="s">
        <v>24</v>
      </c>
      <c r="K402" s="23" t="s">
        <v>24</v>
      </c>
      <c r="L402" s="22">
        <v>0.12634004490193801</v>
      </c>
      <c r="M402" s="134">
        <f t="shared" si="31"/>
        <v>0.12634004490193854</v>
      </c>
      <c r="N402" s="231">
        <f t="shared" si="32"/>
        <v>-5.2735593669694936E-16</v>
      </c>
    </row>
    <row r="403" spans="2:14" x14ac:dyDescent="0.45">
      <c r="B403" s="12">
        <v>15</v>
      </c>
      <c r="C403" s="111">
        <v>7</v>
      </c>
      <c r="D403" s="12">
        <v>8</v>
      </c>
      <c r="E403" s="22">
        <f t="shared" si="28"/>
        <v>4.8481021549832051E-3</v>
      </c>
      <c r="F403" s="129">
        <f t="shared" si="29"/>
        <v>0</v>
      </c>
      <c r="G403" s="22">
        <v>4.8481021549832103E-3</v>
      </c>
      <c r="H403" s="21">
        <f t="shared" si="30"/>
        <v>3.8</v>
      </c>
      <c r="I403" s="21">
        <v>3.8</v>
      </c>
      <c r="J403" s="23" t="s">
        <v>24</v>
      </c>
      <c r="K403" s="23" t="s">
        <v>24</v>
      </c>
      <c r="L403" s="22">
        <v>0.16528176355909799</v>
      </c>
      <c r="M403" s="134">
        <f t="shared" si="31"/>
        <v>0.16528176355909846</v>
      </c>
      <c r="N403" s="231">
        <f t="shared" si="32"/>
        <v>-4.7184478546569153E-16</v>
      </c>
    </row>
    <row r="404" spans="2:14" x14ac:dyDescent="0.45">
      <c r="B404" s="12">
        <v>15</v>
      </c>
      <c r="C404" s="111">
        <v>8</v>
      </c>
      <c r="D404" s="12">
        <v>7</v>
      </c>
      <c r="E404" s="22">
        <f t="shared" si="28"/>
        <v>4.8481021549832051E-3</v>
      </c>
      <c r="F404" s="129">
        <f t="shared" si="29"/>
        <v>0</v>
      </c>
      <c r="G404" s="22">
        <v>4.8481021549832103E-3</v>
      </c>
      <c r="H404" s="21">
        <f t="shared" si="30"/>
        <v>3.8</v>
      </c>
      <c r="I404" s="21">
        <v>3.8</v>
      </c>
      <c r="J404" s="23" t="s">
        <v>24</v>
      </c>
      <c r="K404" s="23" t="s">
        <v>24</v>
      </c>
      <c r="L404" s="22">
        <v>0.16528176355909799</v>
      </c>
      <c r="M404" s="134">
        <f t="shared" si="31"/>
        <v>0.16528176355909843</v>
      </c>
      <c r="N404" s="231">
        <f t="shared" si="32"/>
        <v>-4.4408920985006262E-16</v>
      </c>
    </row>
    <row r="405" spans="2:14" x14ac:dyDescent="0.45">
      <c r="B405" s="12">
        <v>15</v>
      </c>
      <c r="C405" s="111">
        <v>9</v>
      </c>
      <c r="D405" s="12">
        <v>6</v>
      </c>
      <c r="E405" s="22">
        <f t="shared" si="28"/>
        <v>3.7707461205424933E-3</v>
      </c>
      <c r="F405" s="129">
        <f t="shared" si="29"/>
        <v>-3.4694469519536142E-18</v>
      </c>
      <c r="G405" s="22">
        <v>3.7707461205424898E-3</v>
      </c>
      <c r="H405" s="21">
        <f t="shared" si="30"/>
        <v>4.2</v>
      </c>
      <c r="I405" s="21">
        <v>4.2</v>
      </c>
      <c r="J405" s="23" t="s">
        <v>24</v>
      </c>
      <c r="K405" s="23" t="s">
        <v>24</v>
      </c>
      <c r="L405" s="22">
        <v>0.12634004490193801</v>
      </c>
      <c r="M405" s="134">
        <f t="shared" si="31"/>
        <v>0.12634004490193854</v>
      </c>
      <c r="N405" s="231">
        <f t="shared" si="32"/>
        <v>-5.2735593669694936E-16</v>
      </c>
    </row>
    <row r="406" spans="2:14" x14ac:dyDescent="0.45">
      <c r="B406" s="12">
        <v>15</v>
      </c>
      <c r="C406" s="111">
        <v>10</v>
      </c>
      <c r="D406" s="12">
        <v>5</v>
      </c>
      <c r="E406" s="22">
        <f t="shared" si="28"/>
        <v>2.262447672325496E-3</v>
      </c>
      <c r="F406" s="129">
        <f t="shared" si="29"/>
        <v>3.903127820947816E-18</v>
      </c>
      <c r="G406" s="22">
        <v>2.2624476723254999E-3</v>
      </c>
      <c r="H406" s="21">
        <f t="shared" si="30"/>
        <v>5</v>
      </c>
      <c r="I406" s="21">
        <v>5</v>
      </c>
      <c r="J406" s="23" t="s">
        <v>24</v>
      </c>
      <c r="K406" s="23" t="s">
        <v>24</v>
      </c>
      <c r="L406" s="22">
        <v>7.3077064336677294E-2</v>
      </c>
      <c r="M406" s="134">
        <f t="shared" si="31"/>
        <v>7.307706433667735E-2</v>
      </c>
      <c r="N406" s="231">
        <f t="shared" si="32"/>
        <v>0</v>
      </c>
    </row>
    <row r="407" spans="2:14" x14ac:dyDescent="0.45">
      <c r="B407" s="12">
        <v>15</v>
      </c>
      <c r="C407" s="111">
        <v>11</v>
      </c>
      <c r="D407" s="12">
        <v>4</v>
      </c>
      <c r="E407" s="22">
        <f t="shared" si="28"/>
        <v>1.0283853056024981E-3</v>
      </c>
      <c r="F407" s="129">
        <f t="shared" si="29"/>
        <v>1.951563910473908E-18</v>
      </c>
      <c r="G407" s="22">
        <v>1.0283853056025001E-3</v>
      </c>
      <c r="H407" s="21">
        <f t="shared" si="30"/>
        <v>6.2</v>
      </c>
      <c r="I407" s="21">
        <v>6.2</v>
      </c>
      <c r="J407" s="23" t="s">
        <v>24</v>
      </c>
      <c r="K407" s="23" t="s">
        <v>24</v>
      </c>
      <c r="L407" s="22">
        <v>3.1265948781756099E-2</v>
      </c>
      <c r="M407" s="134">
        <f t="shared" si="31"/>
        <v>3.126594878175612E-2</v>
      </c>
      <c r="N407" s="231">
        <f t="shared" si="32"/>
        <v>0</v>
      </c>
    </row>
    <row r="408" spans="2:14" x14ac:dyDescent="0.45">
      <c r="B408" s="12">
        <v>15</v>
      </c>
      <c r="C408" s="111">
        <v>12</v>
      </c>
      <c r="D408" s="12">
        <v>3</v>
      </c>
      <c r="E408" s="22">
        <f t="shared" si="28"/>
        <v>3.4279510186749937E-4</v>
      </c>
      <c r="F408" s="129">
        <f t="shared" si="29"/>
        <v>6.5052130349130266E-19</v>
      </c>
      <c r="G408" s="22">
        <v>3.4279510186750002E-4</v>
      </c>
      <c r="H408" s="21">
        <f t="shared" si="30"/>
        <v>7.8</v>
      </c>
      <c r="I408" s="21">
        <v>7.8</v>
      </c>
      <c r="J408" s="23" t="s">
        <v>24</v>
      </c>
      <c r="K408" s="23" t="s">
        <v>24</v>
      </c>
      <c r="L408" s="22">
        <v>9.48620263597434E-3</v>
      </c>
      <c r="M408" s="134">
        <f t="shared" si="31"/>
        <v>9.4862026359743418E-3</v>
      </c>
      <c r="N408" s="231">
        <f t="shared" si="32"/>
        <v>0</v>
      </c>
    </row>
    <row r="409" spans="2:14" x14ac:dyDescent="0.45">
      <c r="B409" s="12">
        <v>15</v>
      </c>
      <c r="C409" s="111">
        <v>13</v>
      </c>
      <c r="D409" s="12">
        <v>2</v>
      </c>
      <c r="E409" s="22">
        <f t="shared" si="28"/>
        <v>7.9106561969422939E-5</v>
      </c>
      <c r="F409" s="129">
        <f t="shared" si="29"/>
        <v>0</v>
      </c>
      <c r="G409" s="22">
        <v>7.9106561969422993E-5</v>
      </c>
      <c r="H409" s="21">
        <f t="shared" si="30"/>
        <v>9.8000000000000007</v>
      </c>
      <c r="I409" s="21">
        <v>9.8000000000000007</v>
      </c>
      <c r="J409" s="23" t="s">
        <v>24</v>
      </c>
      <c r="K409" s="23" t="s">
        <v>24</v>
      </c>
      <c r="L409" s="22">
        <v>1.8849834558998201E-3</v>
      </c>
      <c r="M409" s="134">
        <f t="shared" si="31"/>
        <v>1.8849834558998196E-3</v>
      </c>
      <c r="N409" s="231">
        <f t="shared" si="32"/>
        <v>0</v>
      </c>
    </row>
    <row r="410" spans="2:14" x14ac:dyDescent="0.45">
      <c r="B410" s="12">
        <v>15</v>
      </c>
      <c r="C410" s="111">
        <v>14</v>
      </c>
      <c r="D410" s="12">
        <v>1</v>
      </c>
      <c r="E410" s="22">
        <f t="shared" si="28"/>
        <v>1.1300937424203275E-5</v>
      </c>
      <c r="F410" s="129">
        <f t="shared" si="29"/>
        <v>2.541098841762901E-20</v>
      </c>
      <c r="G410" s="22">
        <v>1.1300937424203301E-5</v>
      </c>
      <c r="H410" s="21">
        <f t="shared" si="30"/>
        <v>12.2</v>
      </c>
      <c r="I410" s="21">
        <v>12.2</v>
      </c>
      <c r="J410" s="23" t="s">
        <v>24</v>
      </c>
      <c r="K410" s="23" t="s">
        <v>24</v>
      </c>
      <c r="L410" s="22">
        <v>2.0551267618633E-4</v>
      </c>
      <c r="M410" s="134">
        <f t="shared" si="31"/>
        <v>2.0551267618632786E-4</v>
      </c>
      <c r="N410" s="231">
        <f t="shared" si="32"/>
        <v>2.1412992906588713E-18</v>
      </c>
    </row>
    <row r="411" spans="2:14" x14ac:dyDescent="0.45">
      <c r="B411" s="12">
        <v>15</v>
      </c>
      <c r="C411" s="111">
        <v>15</v>
      </c>
      <c r="D411" s="195">
        <v>0</v>
      </c>
      <c r="E411" s="22">
        <f t="shared" si="28"/>
        <v>7.5339582828021837E-7</v>
      </c>
      <c r="F411" s="129">
        <f t="shared" si="29"/>
        <v>0</v>
      </c>
      <c r="G411" s="22">
        <v>7.53395828280219E-7</v>
      </c>
      <c r="H411" s="21">
        <f t="shared" si="30"/>
        <v>15</v>
      </c>
      <c r="I411" s="21">
        <v>15</v>
      </c>
      <c r="J411" s="23" t="s">
        <v>24</v>
      </c>
      <c r="K411" s="23" t="s">
        <v>24</v>
      </c>
      <c r="L411" s="22">
        <v>5.21509505085E-6</v>
      </c>
      <c r="M411" s="207">
        <f>1/(((B411/10)^B411)*((C411/10)^C411))</f>
        <v>5.2150950508465636E-6</v>
      </c>
      <c r="N411" s="231">
        <f t="shared" si="32"/>
        <v>3.4364126670106965E-18</v>
      </c>
    </row>
    <row r="412" spans="2:14" x14ac:dyDescent="0.45">
      <c r="B412" s="12">
        <v>16</v>
      </c>
      <c r="C412" s="195">
        <v>0</v>
      </c>
      <c r="D412" s="12">
        <v>14</v>
      </c>
      <c r="E412" s="22">
        <f t="shared" si="28"/>
        <v>7.0630858901270469E-7</v>
      </c>
      <c r="F412" s="129">
        <f t="shared" si="29"/>
        <v>0</v>
      </c>
      <c r="G412" s="22">
        <v>7.0630858901270501E-7</v>
      </c>
      <c r="H412" s="21">
        <f t="shared" si="30"/>
        <v>15.2</v>
      </c>
      <c r="I412" s="21">
        <v>15.2</v>
      </c>
      <c r="J412" s="23" t="s">
        <v>24</v>
      </c>
      <c r="K412" s="23" t="s">
        <v>24</v>
      </c>
      <c r="L412" s="22">
        <v>4.8785164979900002E-6</v>
      </c>
      <c r="M412" s="207">
        <f>1/(((B412/10)^B412)*((D412/10)^D412))</f>
        <v>4.8785164979911624E-6</v>
      </c>
      <c r="N412" s="231">
        <f t="shared" si="32"/>
        <v>-1.1621292036329001E-18</v>
      </c>
    </row>
    <row r="413" spans="2:14" x14ac:dyDescent="0.45">
      <c r="B413" s="12">
        <v>16</v>
      </c>
      <c r="C413" s="111">
        <v>1</v>
      </c>
      <c r="D413" s="12">
        <v>13</v>
      </c>
      <c r="E413" s="22">
        <f t="shared" si="28"/>
        <v>9.8883202461778674E-6</v>
      </c>
      <c r="F413" s="129">
        <f t="shared" si="29"/>
        <v>0</v>
      </c>
      <c r="G413" s="22">
        <v>9.8883202461778708E-6</v>
      </c>
      <c r="H413" s="21">
        <f t="shared" si="30"/>
        <v>12.6</v>
      </c>
      <c r="I413" s="21">
        <v>12.6</v>
      </c>
      <c r="J413" s="23" t="s">
        <v>24</v>
      </c>
      <c r="K413" s="23" t="s">
        <v>24</v>
      </c>
      <c r="L413" s="22">
        <v>1.7898502532681001E-4</v>
      </c>
      <c r="M413" s="134">
        <f t="shared" si="31"/>
        <v>1.7898502532681136E-4</v>
      </c>
      <c r="N413" s="231">
        <f t="shared" si="32"/>
        <v>-1.3552527156068805E-18</v>
      </c>
    </row>
    <row r="414" spans="2:14" x14ac:dyDescent="0.45">
      <c r="B414" s="12">
        <v>16</v>
      </c>
      <c r="C414" s="111">
        <v>2</v>
      </c>
      <c r="D414" s="12">
        <v>12</v>
      </c>
      <c r="E414" s="22">
        <f t="shared" si="28"/>
        <v>6.4274081600156131E-5</v>
      </c>
      <c r="F414" s="129">
        <f t="shared" si="29"/>
        <v>0</v>
      </c>
      <c r="G414" s="22">
        <v>6.4274081600156199E-5</v>
      </c>
      <c r="H414" s="21">
        <f t="shared" si="30"/>
        <v>10.4</v>
      </c>
      <c r="I414" s="21">
        <v>10.4</v>
      </c>
      <c r="J414" s="23" t="s">
        <v>24</v>
      </c>
      <c r="K414" s="23" t="s">
        <v>24</v>
      </c>
      <c r="L414" s="22">
        <v>1.5200061097023301E-3</v>
      </c>
      <c r="M414" s="134">
        <f t="shared" si="31"/>
        <v>1.5200061097023277E-3</v>
      </c>
      <c r="N414" s="231">
        <f t="shared" si="32"/>
        <v>2.3852447794681098E-18</v>
      </c>
    </row>
    <row r="415" spans="2:14" x14ac:dyDescent="0.45">
      <c r="B415" s="12">
        <v>16</v>
      </c>
      <c r="C415" s="111">
        <v>3</v>
      </c>
      <c r="D415" s="12">
        <v>11</v>
      </c>
      <c r="E415" s="22">
        <f t="shared" si="28"/>
        <v>2.5709632640062453E-4</v>
      </c>
      <c r="F415" s="129">
        <f t="shared" si="29"/>
        <v>4.87890977618477E-19</v>
      </c>
      <c r="G415" s="22">
        <v>2.5709632640062501E-4</v>
      </c>
      <c r="H415" s="21">
        <f t="shared" si="30"/>
        <v>8.6</v>
      </c>
      <c r="I415" s="21">
        <v>8.6</v>
      </c>
      <c r="J415" s="23" t="s">
        <v>24</v>
      </c>
      <c r="K415" s="23" t="s">
        <v>24</v>
      </c>
      <c r="L415" s="22">
        <v>7.0371527270489198E-3</v>
      </c>
      <c r="M415" s="134">
        <f t="shared" si="31"/>
        <v>7.0371527270489042E-3</v>
      </c>
      <c r="N415" s="231">
        <f t="shared" si="32"/>
        <v>1.5612511283791264E-17</v>
      </c>
    </row>
    <row r="416" spans="2:14" x14ac:dyDescent="0.45">
      <c r="B416" s="12">
        <v>16</v>
      </c>
      <c r="C416" s="111">
        <v>4</v>
      </c>
      <c r="D416" s="12">
        <v>10</v>
      </c>
      <c r="E416" s="22">
        <f t="shared" si="28"/>
        <v>7.0701489760171751E-4</v>
      </c>
      <c r="F416" s="129">
        <f t="shared" si="29"/>
        <v>0</v>
      </c>
      <c r="G416" s="22">
        <v>7.0701489760171795E-4</v>
      </c>
      <c r="H416" s="21">
        <f t="shared" si="30"/>
        <v>7.2</v>
      </c>
      <c r="I416" s="21">
        <v>7.2</v>
      </c>
      <c r="J416" s="23" t="s">
        <v>24</v>
      </c>
      <c r="K416" s="23" t="s">
        <v>24</v>
      </c>
      <c r="L416" s="22">
        <v>2.1175823681357502E-2</v>
      </c>
      <c r="M416" s="134">
        <f t="shared" si="31"/>
        <v>2.1175823681357463E-2</v>
      </c>
      <c r="N416" s="231">
        <f t="shared" si="32"/>
        <v>3.8163916471489756E-17</v>
      </c>
    </row>
    <row r="417" spans="2:14" x14ac:dyDescent="0.45">
      <c r="B417" s="12">
        <v>16</v>
      </c>
      <c r="C417" s="111">
        <v>5</v>
      </c>
      <c r="D417" s="12">
        <v>9</v>
      </c>
      <c r="E417" s="22">
        <f t="shared" si="28"/>
        <v>1.414029795203435E-3</v>
      </c>
      <c r="F417" s="129">
        <f t="shared" si="29"/>
        <v>4.9873299934333204E-18</v>
      </c>
      <c r="G417" s="22">
        <v>1.41402979520344E-3</v>
      </c>
      <c r="H417" s="21">
        <f t="shared" si="30"/>
        <v>6.2</v>
      </c>
      <c r="I417" s="21">
        <v>6.2</v>
      </c>
      <c r="J417" s="23" t="s">
        <v>24</v>
      </c>
      <c r="K417" s="23" t="s">
        <v>24</v>
      </c>
      <c r="L417" s="22">
        <v>4.4776245067844202E-2</v>
      </c>
      <c r="M417" s="134">
        <f t="shared" si="31"/>
        <v>4.4776245067844195E-2</v>
      </c>
      <c r="N417" s="231">
        <f t="shared" si="32"/>
        <v>0</v>
      </c>
    </row>
    <row r="418" spans="2:14" x14ac:dyDescent="0.45">
      <c r="B418" s="12">
        <v>16</v>
      </c>
      <c r="C418" s="111">
        <v>6</v>
      </c>
      <c r="D418" s="12">
        <v>8</v>
      </c>
      <c r="E418" s="22">
        <f t="shared" si="28"/>
        <v>2.1210446928051525E-3</v>
      </c>
      <c r="F418" s="129">
        <f t="shared" si="29"/>
        <v>0</v>
      </c>
      <c r="G418" s="22">
        <v>2.1210446928051499E-3</v>
      </c>
      <c r="H418" s="21">
        <f t="shared" si="30"/>
        <v>5.6</v>
      </c>
      <c r="I418" s="21">
        <v>5.6</v>
      </c>
      <c r="J418" s="23" t="s">
        <v>24</v>
      </c>
      <c r="K418" s="23" t="s">
        <v>24</v>
      </c>
      <c r="L418" s="22">
        <v>6.9255278373312398E-2</v>
      </c>
      <c r="M418" s="134">
        <f t="shared" si="31"/>
        <v>6.9255278373312246E-2</v>
      </c>
      <c r="N418" s="231">
        <f t="shared" si="32"/>
        <v>1.5265566588595902E-16</v>
      </c>
    </row>
    <row r="419" spans="2:14" x14ac:dyDescent="0.45">
      <c r="B419" s="12">
        <v>16</v>
      </c>
      <c r="C419" s="111">
        <v>7</v>
      </c>
      <c r="D419" s="12">
        <v>7</v>
      </c>
      <c r="E419" s="22">
        <f t="shared" si="28"/>
        <v>2.4240510774916025E-3</v>
      </c>
      <c r="F419" s="129">
        <f t="shared" si="29"/>
        <v>0</v>
      </c>
      <c r="G419" s="22">
        <v>2.4240510774915999E-3</v>
      </c>
      <c r="H419" s="21">
        <f t="shared" si="30"/>
        <v>5.4</v>
      </c>
      <c r="I419" s="21">
        <v>5.4</v>
      </c>
      <c r="J419" s="23" t="s">
        <v>24</v>
      </c>
      <c r="K419" s="23" t="s">
        <v>24</v>
      </c>
      <c r="L419" s="22">
        <v>7.9929614303087204E-2</v>
      </c>
      <c r="M419" s="134">
        <f t="shared" si="31"/>
        <v>7.9929614303087218E-2</v>
      </c>
      <c r="N419" s="231">
        <f t="shared" si="32"/>
        <v>0</v>
      </c>
    </row>
    <row r="420" spans="2:14" x14ac:dyDescent="0.45">
      <c r="B420" s="12">
        <v>16</v>
      </c>
      <c r="C420" s="111">
        <v>8</v>
      </c>
      <c r="D420" s="12">
        <v>6</v>
      </c>
      <c r="E420" s="22">
        <f t="shared" si="28"/>
        <v>2.1210446928051525E-3</v>
      </c>
      <c r="F420" s="129">
        <f t="shared" si="29"/>
        <v>0</v>
      </c>
      <c r="G420" s="22">
        <v>2.1210446928051499E-3</v>
      </c>
      <c r="H420" s="21">
        <f t="shared" si="30"/>
        <v>5.6</v>
      </c>
      <c r="I420" s="21">
        <v>5.6</v>
      </c>
      <c r="J420" s="23" t="s">
        <v>24</v>
      </c>
      <c r="K420" s="23" t="s">
        <v>24</v>
      </c>
      <c r="L420" s="22">
        <v>6.9255278373312398E-2</v>
      </c>
      <c r="M420" s="134">
        <f t="shared" si="31"/>
        <v>6.925527837331226E-2</v>
      </c>
      <c r="N420" s="231">
        <f t="shared" si="32"/>
        <v>1.3877787807814457E-16</v>
      </c>
    </row>
    <row r="421" spans="2:14" x14ac:dyDescent="0.45">
      <c r="B421" s="12">
        <v>16</v>
      </c>
      <c r="C421" s="111">
        <v>9</v>
      </c>
      <c r="D421" s="12">
        <v>5</v>
      </c>
      <c r="E421" s="22">
        <f t="shared" ref="E421:E484" si="33">$E$36*FACT(30)/(FACT(B421)*FACT(C421)*FACT(D421))</f>
        <v>1.414029795203435E-3</v>
      </c>
      <c r="F421" s="129">
        <f t="shared" ref="F421:F484" si="34">G421-E421</f>
        <v>4.9873299934333204E-18</v>
      </c>
      <c r="G421" s="22">
        <v>1.41402979520344E-3</v>
      </c>
      <c r="H421" s="21">
        <f t="shared" ref="H421:H484" si="35">(((B421-10))^2+((C421-10))^2+((D421-10))^2)/10</f>
        <v>6.2</v>
      </c>
      <c r="I421" s="21">
        <v>6.2</v>
      </c>
      <c r="J421" s="23" t="s">
        <v>24</v>
      </c>
      <c r="K421" s="23" t="s">
        <v>24</v>
      </c>
      <c r="L421" s="22">
        <v>4.4776245067844202E-2</v>
      </c>
      <c r="M421" s="134">
        <f t="shared" ref="M421:M484" si="36">1/(((B421/10)^B421)*((C421/10)^C421)*((D421/10)^D421))</f>
        <v>4.4776245067844195E-2</v>
      </c>
      <c r="N421" s="231">
        <f t="shared" ref="N421:N484" si="37">L421-M421</f>
        <v>0</v>
      </c>
    </row>
    <row r="422" spans="2:14" x14ac:dyDescent="0.45">
      <c r="B422" s="12">
        <v>16</v>
      </c>
      <c r="C422" s="111">
        <v>10</v>
      </c>
      <c r="D422" s="12">
        <v>4</v>
      </c>
      <c r="E422" s="22">
        <f t="shared" si="33"/>
        <v>7.0701489760171751E-4</v>
      </c>
      <c r="F422" s="129">
        <f t="shared" si="34"/>
        <v>0</v>
      </c>
      <c r="G422" s="22">
        <v>7.0701489760171795E-4</v>
      </c>
      <c r="H422" s="21">
        <f t="shared" si="35"/>
        <v>7.2</v>
      </c>
      <c r="I422" s="21">
        <v>7.2</v>
      </c>
      <c r="J422" s="23" t="s">
        <v>24</v>
      </c>
      <c r="K422" s="23" t="s">
        <v>24</v>
      </c>
      <c r="L422" s="22">
        <v>2.1175823681357502E-2</v>
      </c>
      <c r="M422" s="134">
        <f t="shared" si="36"/>
        <v>2.1175823681357463E-2</v>
      </c>
      <c r="N422" s="231">
        <f t="shared" si="37"/>
        <v>3.8163916471489756E-17</v>
      </c>
    </row>
    <row r="423" spans="2:14" x14ac:dyDescent="0.45">
      <c r="B423" s="12">
        <v>16</v>
      </c>
      <c r="C423" s="111">
        <v>11</v>
      </c>
      <c r="D423" s="12">
        <v>3</v>
      </c>
      <c r="E423" s="22">
        <f t="shared" si="33"/>
        <v>2.5709632640062453E-4</v>
      </c>
      <c r="F423" s="129">
        <f t="shared" si="34"/>
        <v>4.87890977618477E-19</v>
      </c>
      <c r="G423" s="22">
        <v>2.5709632640062501E-4</v>
      </c>
      <c r="H423" s="21">
        <f t="shared" si="35"/>
        <v>8.6</v>
      </c>
      <c r="I423" s="21">
        <v>8.6</v>
      </c>
      <c r="J423" s="23" t="s">
        <v>24</v>
      </c>
      <c r="K423" s="23" t="s">
        <v>24</v>
      </c>
      <c r="L423" s="22">
        <v>7.0371527270489198E-3</v>
      </c>
      <c r="M423" s="134">
        <f t="shared" si="36"/>
        <v>7.0371527270489042E-3</v>
      </c>
      <c r="N423" s="231">
        <f t="shared" si="37"/>
        <v>1.5612511283791264E-17</v>
      </c>
    </row>
    <row r="424" spans="2:14" x14ac:dyDescent="0.45">
      <c r="B424" s="12">
        <v>16</v>
      </c>
      <c r="C424" s="111">
        <v>12</v>
      </c>
      <c r="D424" s="12">
        <v>2</v>
      </c>
      <c r="E424" s="22">
        <f t="shared" si="33"/>
        <v>6.4274081600156131E-5</v>
      </c>
      <c r="F424" s="129">
        <f t="shared" si="34"/>
        <v>0</v>
      </c>
      <c r="G424" s="22">
        <v>6.4274081600156199E-5</v>
      </c>
      <c r="H424" s="21">
        <f t="shared" si="35"/>
        <v>10.4</v>
      </c>
      <c r="I424" s="21">
        <v>10.4</v>
      </c>
      <c r="J424" s="23" t="s">
        <v>24</v>
      </c>
      <c r="K424" s="23" t="s">
        <v>24</v>
      </c>
      <c r="L424" s="22">
        <v>1.5200061097023301E-3</v>
      </c>
      <c r="M424" s="134">
        <f t="shared" si="36"/>
        <v>1.5200061097023277E-3</v>
      </c>
      <c r="N424" s="231">
        <f t="shared" si="37"/>
        <v>2.3852447794681098E-18</v>
      </c>
    </row>
    <row r="425" spans="2:14" x14ac:dyDescent="0.45">
      <c r="B425" s="12">
        <v>16</v>
      </c>
      <c r="C425" s="111">
        <v>13</v>
      </c>
      <c r="D425" s="12">
        <v>1</v>
      </c>
      <c r="E425" s="22">
        <f t="shared" si="33"/>
        <v>9.8883202461778674E-6</v>
      </c>
      <c r="F425" s="129">
        <f t="shared" si="34"/>
        <v>0</v>
      </c>
      <c r="G425" s="22">
        <v>9.8883202461778708E-6</v>
      </c>
      <c r="H425" s="21">
        <f t="shared" si="35"/>
        <v>12.6</v>
      </c>
      <c r="I425" s="21">
        <v>12.6</v>
      </c>
      <c r="J425" s="23" t="s">
        <v>24</v>
      </c>
      <c r="K425" s="23" t="s">
        <v>24</v>
      </c>
      <c r="L425" s="22">
        <v>1.7898502532681001E-4</v>
      </c>
      <c r="M425" s="134">
        <f t="shared" si="36"/>
        <v>1.7898502532681136E-4</v>
      </c>
      <c r="N425" s="231">
        <f t="shared" si="37"/>
        <v>-1.3552527156068805E-18</v>
      </c>
    </row>
    <row r="426" spans="2:14" x14ac:dyDescent="0.45">
      <c r="B426" s="12">
        <v>16</v>
      </c>
      <c r="C426" s="111">
        <v>14</v>
      </c>
      <c r="D426" s="195">
        <v>0</v>
      </c>
      <c r="E426" s="22">
        <f t="shared" si="33"/>
        <v>7.0630858901270469E-7</v>
      </c>
      <c r="F426" s="129">
        <f t="shared" si="34"/>
        <v>0</v>
      </c>
      <c r="G426" s="22">
        <v>7.0630858901270501E-7</v>
      </c>
      <c r="H426" s="21">
        <f t="shared" si="35"/>
        <v>15.2</v>
      </c>
      <c r="I426" s="21">
        <v>15.2</v>
      </c>
      <c r="J426" s="23" t="s">
        <v>24</v>
      </c>
      <c r="K426" s="23" t="s">
        <v>24</v>
      </c>
      <c r="L426" s="22">
        <v>4.8785164979900002E-6</v>
      </c>
      <c r="M426" s="207">
        <f>1/(((B426/10)^B426)*((C426/10)^C426))</f>
        <v>4.8785164979911624E-6</v>
      </c>
      <c r="N426" s="231">
        <f t="shared" si="37"/>
        <v>-1.1621292036329001E-18</v>
      </c>
    </row>
    <row r="427" spans="2:14" x14ac:dyDescent="0.45">
      <c r="B427" s="12">
        <v>17</v>
      </c>
      <c r="C427" s="195">
        <v>0</v>
      </c>
      <c r="D427" s="12">
        <v>13</v>
      </c>
      <c r="E427" s="22">
        <f t="shared" si="33"/>
        <v>5.8166589683399217E-7</v>
      </c>
      <c r="F427" s="129">
        <f t="shared" si="34"/>
        <v>0</v>
      </c>
      <c r="G427" s="22">
        <v>5.8166589683399196E-7</v>
      </c>
      <c r="H427" s="21">
        <f t="shared" si="35"/>
        <v>15.8</v>
      </c>
      <c r="I427" s="21">
        <v>15.8</v>
      </c>
      <c r="J427" s="23" t="s">
        <v>24</v>
      </c>
      <c r="K427" s="23" t="s">
        <v>24</v>
      </c>
      <c r="L427" s="22">
        <v>3.99121163143E-6</v>
      </c>
      <c r="M427" s="207">
        <f>1/(((B427/10)^B427)*((D427/10)^D427))</f>
        <v>3.9912116314326267E-6</v>
      </c>
      <c r="N427" s="231">
        <f t="shared" si="37"/>
        <v>-2.6266491694355854E-18</v>
      </c>
    </row>
    <row r="428" spans="2:14" x14ac:dyDescent="0.45">
      <c r="B428" s="12">
        <v>17</v>
      </c>
      <c r="C428" s="111">
        <v>1</v>
      </c>
      <c r="D428" s="12">
        <v>12</v>
      </c>
      <c r="E428" s="22">
        <f t="shared" si="33"/>
        <v>7.5616566588418983E-6</v>
      </c>
      <c r="F428" s="129">
        <f t="shared" si="34"/>
        <v>0</v>
      </c>
      <c r="G428" s="22">
        <v>7.5616566588419E-6</v>
      </c>
      <c r="H428" s="21">
        <f t="shared" si="35"/>
        <v>13.4</v>
      </c>
      <c r="I428" s="21">
        <v>13.4</v>
      </c>
      <c r="J428" s="23" t="s">
        <v>24</v>
      </c>
      <c r="K428" s="23" t="s">
        <v>24</v>
      </c>
      <c r="L428" s="22">
        <v>1.3557929896794999E-4</v>
      </c>
      <c r="M428" s="134">
        <f t="shared" si="36"/>
        <v>1.3557929896795275E-4</v>
      </c>
      <c r="N428" s="231">
        <f t="shared" si="37"/>
        <v>-2.7647155398380363E-18</v>
      </c>
    </row>
    <row r="429" spans="2:14" x14ac:dyDescent="0.45">
      <c r="B429" s="12">
        <v>17</v>
      </c>
      <c r="C429" s="111">
        <v>2</v>
      </c>
      <c r="D429" s="12">
        <v>11</v>
      </c>
      <c r="E429" s="22">
        <f t="shared" si="33"/>
        <v>4.5369939953051386E-5</v>
      </c>
      <c r="F429" s="129">
        <f t="shared" si="34"/>
        <v>0</v>
      </c>
      <c r="G429" s="22">
        <v>4.53699399530514E-5</v>
      </c>
      <c r="H429" s="21">
        <f t="shared" si="35"/>
        <v>11.4</v>
      </c>
      <c r="I429" s="21">
        <v>11.4</v>
      </c>
      <c r="J429" s="23" t="s">
        <v>24</v>
      </c>
      <c r="K429" s="23" t="s">
        <v>24</v>
      </c>
      <c r="L429" s="22">
        <v>1.0592264292183099E-3</v>
      </c>
      <c r="M429" s="134">
        <f t="shared" si="36"/>
        <v>1.0592264292183062E-3</v>
      </c>
      <c r="N429" s="231">
        <f t="shared" si="37"/>
        <v>3.6862873864507151E-18</v>
      </c>
    </row>
    <row r="430" spans="2:14" x14ac:dyDescent="0.45">
      <c r="B430" s="12">
        <v>17</v>
      </c>
      <c r="C430" s="111">
        <v>3</v>
      </c>
      <c r="D430" s="12">
        <v>10</v>
      </c>
      <c r="E430" s="22">
        <f t="shared" si="33"/>
        <v>1.6635644649452177E-4</v>
      </c>
      <c r="F430" s="129">
        <f t="shared" si="34"/>
        <v>2.439454888092385E-19</v>
      </c>
      <c r="G430" s="22">
        <v>1.6635644649452201E-4</v>
      </c>
      <c r="H430" s="21">
        <f t="shared" si="35"/>
        <v>9.8000000000000007</v>
      </c>
      <c r="I430" s="21">
        <v>9.8000000000000007</v>
      </c>
      <c r="J430" s="23" t="s">
        <v>24</v>
      </c>
      <c r="K430" s="23" t="s">
        <v>24</v>
      </c>
      <c r="L430" s="22">
        <v>4.4771801788977697E-3</v>
      </c>
      <c r="M430" s="134">
        <f t="shared" si="36"/>
        <v>4.4771801788977689E-3</v>
      </c>
      <c r="N430" s="231">
        <f t="shared" si="37"/>
        <v>0</v>
      </c>
    </row>
    <row r="431" spans="2:14" x14ac:dyDescent="0.45">
      <c r="B431" s="12">
        <v>17</v>
      </c>
      <c r="C431" s="111">
        <v>4</v>
      </c>
      <c r="D431" s="12">
        <v>9</v>
      </c>
      <c r="E431" s="22">
        <f t="shared" si="33"/>
        <v>4.1589111623630437E-4</v>
      </c>
      <c r="F431" s="129">
        <f t="shared" si="34"/>
        <v>6.5052130349130266E-19</v>
      </c>
      <c r="G431" s="22">
        <v>4.1589111623630502E-4</v>
      </c>
      <c r="H431" s="21">
        <f t="shared" si="35"/>
        <v>8.6</v>
      </c>
      <c r="I431" s="21">
        <v>8.6</v>
      </c>
      <c r="J431" s="23" t="s">
        <v>24</v>
      </c>
      <c r="K431" s="23" t="s">
        <v>24</v>
      </c>
      <c r="L431" s="22">
        <v>1.21883743994015E-2</v>
      </c>
      <c r="M431" s="134">
        <f t="shared" si="36"/>
        <v>1.2188374399401569E-2</v>
      </c>
      <c r="N431" s="231">
        <f t="shared" si="37"/>
        <v>-6.9388939039072284E-17</v>
      </c>
    </row>
    <row r="432" spans="2:14" x14ac:dyDescent="0.45">
      <c r="B432" s="12">
        <v>17</v>
      </c>
      <c r="C432" s="111">
        <v>5</v>
      </c>
      <c r="D432" s="12">
        <v>8</v>
      </c>
      <c r="E432" s="22">
        <f t="shared" si="33"/>
        <v>7.4860400922534785E-4</v>
      </c>
      <c r="F432" s="129">
        <f t="shared" si="34"/>
        <v>0</v>
      </c>
      <c r="G432" s="22">
        <v>7.4860400922534796E-4</v>
      </c>
      <c r="H432" s="21">
        <f t="shared" si="35"/>
        <v>7.8</v>
      </c>
      <c r="I432" s="21">
        <v>7.8</v>
      </c>
      <c r="J432" s="23" t="s">
        <v>24</v>
      </c>
      <c r="K432" s="23" t="s">
        <v>24</v>
      </c>
      <c r="L432" s="22">
        <v>2.30567674313048E-2</v>
      </c>
      <c r="M432" s="134">
        <f t="shared" si="36"/>
        <v>2.3056767431304866E-2</v>
      </c>
      <c r="N432" s="231">
        <f t="shared" si="37"/>
        <v>-6.591949208711867E-17</v>
      </c>
    </row>
    <row r="433" spans="2:14" x14ac:dyDescent="0.45">
      <c r="B433" s="12">
        <v>17</v>
      </c>
      <c r="C433" s="111">
        <v>6</v>
      </c>
      <c r="D433" s="12">
        <v>7</v>
      </c>
      <c r="E433" s="22">
        <f t="shared" si="33"/>
        <v>9.9813867896713054E-4</v>
      </c>
      <c r="F433" s="129">
        <f t="shared" si="34"/>
        <v>0</v>
      </c>
      <c r="G433" s="22">
        <v>9.9813867896713098E-4</v>
      </c>
      <c r="H433" s="21">
        <f t="shared" si="35"/>
        <v>7.4</v>
      </c>
      <c r="I433" s="21">
        <v>7.4</v>
      </c>
      <c r="J433" s="23" t="s">
        <v>24</v>
      </c>
      <c r="K433" s="23" t="s">
        <v>24</v>
      </c>
      <c r="L433" s="22">
        <v>3.1461147161434701E-2</v>
      </c>
      <c r="M433" s="134">
        <f t="shared" si="36"/>
        <v>3.1461147161434819E-2</v>
      </c>
      <c r="N433" s="231">
        <f t="shared" si="37"/>
        <v>-1.1796119636642288E-16</v>
      </c>
    </row>
    <row r="434" spans="2:14" x14ac:dyDescent="0.45">
      <c r="B434" s="12">
        <v>17</v>
      </c>
      <c r="C434" s="111">
        <v>7</v>
      </c>
      <c r="D434" s="12">
        <v>6</v>
      </c>
      <c r="E434" s="22">
        <f t="shared" si="33"/>
        <v>9.9813867896713054E-4</v>
      </c>
      <c r="F434" s="129">
        <f t="shared" si="34"/>
        <v>0</v>
      </c>
      <c r="G434" s="22">
        <v>9.9813867896713098E-4</v>
      </c>
      <c r="H434" s="21">
        <f t="shared" si="35"/>
        <v>7.4</v>
      </c>
      <c r="I434" s="21">
        <v>7.4</v>
      </c>
      <c r="J434" s="23" t="s">
        <v>24</v>
      </c>
      <c r="K434" s="23" t="s">
        <v>24</v>
      </c>
      <c r="L434" s="22">
        <v>3.1461147161434701E-2</v>
      </c>
      <c r="M434" s="134">
        <f t="shared" si="36"/>
        <v>3.1461147161434819E-2</v>
      </c>
      <c r="N434" s="231">
        <f t="shared" si="37"/>
        <v>-1.1796119636642288E-16</v>
      </c>
    </row>
    <row r="435" spans="2:14" x14ac:dyDescent="0.45">
      <c r="B435" s="12">
        <v>17</v>
      </c>
      <c r="C435" s="111">
        <v>8</v>
      </c>
      <c r="D435" s="12">
        <v>5</v>
      </c>
      <c r="E435" s="22">
        <f t="shared" si="33"/>
        <v>7.4860400922534785E-4</v>
      </c>
      <c r="F435" s="129">
        <f t="shared" si="34"/>
        <v>0</v>
      </c>
      <c r="G435" s="22">
        <v>7.4860400922534796E-4</v>
      </c>
      <c r="H435" s="21">
        <f t="shared" si="35"/>
        <v>7.8</v>
      </c>
      <c r="I435" s="21">
        <v>7.8</v>
      </c>
      <c r="J435" s="23" t="s">
        <v>24</v>
      </c>
      <c r="K435" s="23" t="s">
        <v>24</v>
      </c>
      <c r="L435" s="22">
        <v>2.30567674313048E-2</v>
      </c>
      <c r="M435" s="134">
        <f t="shared" si="36"/>
        <v>2.3056767431304866E-2</v>
      </c>
      <c r="N435" s="231">
        <f t="shared" si="37"/>
        <v>-6.591949208711867E-17</v>
      </c>
    </row>
    <row r="436" spans="2:14" x14ac:dyDescent="0.45">
      <c r="B436" s="12">
        <v>17</v>
      </c>
      <c r="C436" s="111">
        <v>9</v>
      </c>
      <c r="D436" s="12">
        <v>4</v>
      </c>
      <c r="E436" s="22">
        <f t="shared" si="33"/>
        <v>4.1589111623630437E-4</v>
      </c>
      <c r="F436" s="129">
        <f t="shared" si="34"/>
        <v>6.5052130349130266E-19</v>
      </c>
      <c r="G436" s="22">
        <v>4.1589111623630502E-4</v>
      </c>
      <c r="H436" s="21">
        <f t="shared" si="35"/>
        <v>8.6</v>
      </c>
      <c r="I436" s="21">
        <v>8.6</v>
      </c>
      <c r="J436" s="23" t="s">
        <v>24</v>
      </c>
      <c r="K436" s="23" t="s">
        <v>24</v>
      </c>
      <c r="L436" s="22">
        <v>1.21883743994015E-2</v>
      </c>
      <c r="M436" s="134">
        <f t="shared" si="36"/>
        <v>1.2188374399401567E-2</v>
      </c>
      <c r="N436" s="231">
        <f t="shared" si="37"/>
        <v>-6.7654215563095477E-17</v>
      </c>
    </row>
    <row r="437" spans="2:14" x14ac:dyDescent="0.45">
      <c r="B437" s="12">
        <v>17</v>
      </c>
      <c r="C437" s="111">
        <v>10</v>
      </c>
      <c r="D437" s="12">
        <v>3</v>
      </c>
      <c r="E437" s="22">
        <f t="shared" si="33"/>
        <v>1.6635644649452177E-4</v>
      </c>
      <c r="F437" s="129">
        <f t="shared" si="34"/>
        <v>2.439454888092385E-19</v>
      </c>
      <c r="G437" s="22">
        <v>1.6635644649452201E-4</v>
      </c>
      <c r="H437" s="21">
        <f t="shared" si="35"/>
        <v>9.8000000000000007</v>
      </c>
      <c r="I437" s="21">
        <v>9.8000000000000007</v>
      </c>
      <c r="J437" s="23" t="s">
        <v>24</v>
      </c>
      <c r="K437" s="23" t="s">
        <v>24</v>
      </c>
      <c r="L437" s="22">
        <v>4.4771801788977697E-3</v>
      </c>
      <c r="M437" s="134">
        <f t="shared" si="36"/>
        <v>4.4771801788977689E-3</v>
      </c>
      <c r="N437" s="231">
        <f t="shared" si="37"/>
        <v>0</v>
      </c>
    </row>
    <row r="438" spans="2:14" x14ac:dyDescent="0.45">
      <c r="B438" s="12">
        <v>17</v>
      </c>
      <c r="C438" s="111">
        <v>11</v>
      </c>
      <c r="D438" s="12">
        <v>2</v>
      </c>
      <c r="E438" s="22">
        <f t="shared" si="33"/>
        <v>4.5369939953051386E-5</v>
      </c>
      <c r="F438" s="129">
        <f t="shared" si="34"/>
        <v>0</v>
      </c>
      <c r="G438" s="22">
        <v>4.53699399530514E-5</v>
      </c>
      <c r="H438" s="21">
        <f t="shared" si="35"/>
        <v>11.4</v>
      </c>
      <c r="I438" s="21">
        <v>11.4</v>
      </c>
      <c r="J438" s="23" t="s">
        <v>24</v>
      </c>
      <c r="K438" s="23" t="s">
        <v>24</v>
      </c>
      <c r="L438" s="22">
        <v>1.0592264292183099E-3</v>
      </c>
      <c r="M438" s="134">
        <f t="shared" si="36"/>
        <v>1.0592264292183062E-3</v>
      </c>
      <c r="N438" s="231">
        <f t="shared" si="37"/>
        <v>3.6862873864507151E-18</v>
      </c>
    </row>
    <row r="439" spans="2:14" x14ac:dyDescent="0.45">
      <c r="B439" s="12">
        <v>17</v>
      </c>
      <c r="C439" s="111">
        <v>12</v>
      </c>
      <c r="D439" s="12">
        <v>1</v>
      </c>
      <c r="E439" s="22">
        <f t="shared" si="33"/>
        <v>7.5616566588418983E-6</v>
      </c>
      <c r="F439" s="129">
        <f t="shared" si="34"/>
        <v>0</v>
      </c>
      <c r="G439" s="22">
        <v>7.5616566588419E-6</v>
      </c>
      <c r="H439" s="21">
        <f t="shared" si="35"/>
        <v>13.4</v>
      </c>
      <c r="I439" s="21">
        <v>13.4</v>
      </c>
      <c r="J439" s="23" t="s">
        <v>24</v>
      </c>
      <c r="K439" s="23" t="s">
        <v>24</v>
      </c>
      <c r="L439" s="22">
        <v>1.3557929896794999E-4</v>
      </c>
      <c r="M439" s="134">
        <f t="shared" si="36"/>
        <v>1.3557929896795275E-4</v>
      </c>
      <c r="N439" s="231">
        <f t="shared" si="37"/>
        <v>-2.7647155398380363E-18</v>
      </c>
    </row>
    <row r="440" spans="2:14" x14ac:dyDescent="0.45">
      <c r="B440" s="12">
        <v>17</v>
      </c>
      <c r="C440" s="111">
        <v>13</v>
      </c>
      <c r="D440" s="195">
        <v>0</v>
      </c>
      <c r="E440" s="22">
        <f t="shared" si="33"/>
        <v>5.8166589683399217E-7</v>
      </c>
      <c r="F440" s="129">
        <f t="shared" si="34"/>
        <v>0</v>
      </c>
      <c r="G440" s="22">
        <v>5.8166589683399196E-7</v>
      </c>
      <c r="H440" s="21">
        <f t="shared" si="35"/>
        <v>15.8</v>
      </c>
      <c r="I440" s="21">
        <v>15.8</v>
      </c>
      <c r="J440" s="23" t="s">
        <v>24</v>
      </c>
      <c r="K440" s="23" t="s">
        <v>24</v>
      </c>
      <c r="L440" s="22">
        <v>3.99121163143E-6</v>
      </c>
      <c r="M440" s="207">
        <f>1/(((B440/10)^B440)*((C440/10)^C440))</f>
        <v>3.9912116314326267E-6</v>
      </c>
      <c r="N440" s="231">
        <f t="shared" si="37"/>
        <v>-2.6266491694355854E-18</v>
      </c>
    </row>
    <row r="441" spans="2:14" x14ac:dyDescent="0.45">
      <c r="B441" s="12">
        <v>18</v>
      </c>
      <c r="C441" s="195">
        <v>0</v>
      </c>
      <c r="D441" s="12">
        <v>12</v>
      </c>
      <c r="E441" s="22">
        <f t="shared" si="33"/>
        <v>4.2009203660232764E-7</v>
      </c>
      <c r="F441" s="129">
        <f t="shared" si="34"/>
        <v>0</v>
      </c>
      <c r="G441" s="22">
        <v>4.2009203660232801E-7</v>
      </c>
      <c r="H441" s="21">
        <f t="shared" si="35"/>
        <v>16.8</v>
      </c>
      <c r="I441" s="21">
        <v>16.8</v>
      </c>
      <c r="J441" s="23" t="s">
        <v>24</v>
      </c>
      <c r="K441" s="23" t="s">
        <v>24</v>
      </c>
      <c r="L441" s="22">
        <v>2.8504928472799999E-6</v>
      </c>
      <c r="M441" s="207">
        <f>1/(((B441/10)^B441)*((D441/10)^D441))</f>
        <v>2.8504928472754814E-6</v>
      </c>
      <c r="N441" s="231">
        <f t="shared" si="37"/>
        <v>4.5184972571280652E-18</v>
      </c>
    </row>
    <row r="442" spans="2:14" x14ac:dyDescent="0.45">
      <c r="B442" s="12">
        <v>18</v>
      </c>
      <c r="C442" s="111">
        <v>1</v>
      </c>
      <c r="D442" s="12">
        <v>11</v>
      </c>
      <c r="E442" s="22">
        <f t="shared" si="33"/>
        <v>5.0411044392279319E-6</v>
      </c>
      <c r="F442" s="129">
        <f t="shared" si="34"/>
        <v>0</v>
      </c>
      <c r="G442" s="22">
        <v>5.0411044392279302E-6</v>
      </c>
      <c r="H442" s="21">
        <f t="shared" si="35"/>
        <v>14.6</v>
      </c>
      <c r="I442" s="21">
        <v>14.6</v>
      </c>
      <c r="J442" s="23" t="s">
        <v>24</v>
      </c>
      <c r="K442" s="23" t="s">
        <v>24</v>
      </c>
      <c r="L442" s="22">
        <v>8.9079007875550003E-5</v>
      </c>
      <c r="M442" s="134">
        <f t="shared" si="36"/>
        <v>8.9079007875549353E-5</v>
      </c>
      <c r="N442" s="231">
        <f t="shared" si="37"/>
        <v>6.5052130349130266E-19</v>
      </c>
    </row>
    <row r="443" spans="2:14" x14ac:dyDescent="0.45">
      <c r="B443" s="12">
        <v>18</v>
      </c>
      <c r="C443" s="111">
        <v>2</v>
      </c>
      <c r="D443" s="12">
        <v>10</v>
      </c>
      <c r="E443" s="22">
        <f t="shared" si="33"/>
        <v>2.7726074415753628E-5</v>
      </c>
      <c r="F443" s="129">
        <f t="shared" si="34"/>
        <v>-2.7105054312137611E-20</v>
      </c>
      <c r="G443" s="22">
        <v>2.7726074415753601E-5</v>
      </c>
      <c r="H443" s="21">
        <f t="shared" si="35"/>
        <v>12.8</v>
      </c>
      <c r="I443" s="21">
        <v>12.8</v>
      </c>
      <c r="J443" s="23" t="s">
        <v>24</v>
      </c>
      <c r="K443" s="23" t="s">
        <v>24</v>
      </c>
      <c r="L443" s="22">
        <v>6.3538201383358996E-4</v>
      </c>
      <c r="M443" s="134">
        <f t="shared" si="36"/>
        <v>6.3538201383358584E-4</v>
      </c>
      <c r="N443" s="231">
        <f t="shared" si="37"/>
        <v>4.1199682554449168E-18</v>
      </c>
    </row>
    <row r="444" spans="2:14" x14ac:dyDescent="0.45">
      <c r="B444" s="12">
        <v>18</v>
      </c>
      <c r="C444" s="111">
        <v>3</v>
      </c>
      <c r="D444" s="12">
        <v>9</v>
      </c>
      <c r="E444" s="22">
        <f t="shared" si="33"/>
        <v>9.2420248052512083E-5</v>
      </c>
      <c r="F444" s="129">
        <f t="shared" si="34"/>
        <v>0</v>
      </c>
      <c r="G444" s="22">
        <v>9.2420248052512097E-5</v>
      </c>
      <c r="H444" s="21">
        <f t="shared" si="35"/>
        <v>11.4</v>
      </c>
      <c r="I444" s="21">
        <v>11.4</v>
      </c>
      <c r="J444" s="23" t="s">
        <v>24</v>
      </c>
      <c r="K444" s="23" t="s">
        <v>24</v>
      </c>
      <c r="L444" s="22">
        <v>2.4296770921707002E-3</v>
      </c>
      <c r="M444" s="134">
        <f t="shared" si="36"/>
        <v>2.429677092170692E-3</v>
      </c>
      <c r="N444" s="231">
        <f t="shared" si="37"/>
        <v>8.2399365108898337E-18</v>
      </c>
    </row>
    <row r="445" spans="2:14" x14ac:dyDescent="0.45">
      <c r="B445" s="12">
        <v>18</v>
      </c>
      <c r="C445" s="111">
        <v>4</v>
      </c>
      <c r="D445" s="12">
        <v>8</v>
      </c>
      <c r="E445" s="22">
        <f t="shared" si="33"/>
        <v>2.0794555811815219E-4</v>
      </c>
      <c r="F445" s="129">
        <f t="shared" si="34"/>
        <v>0</v>
      </c>
      <c r="G445" s="22">
        <v>2.07945558118152E-4</v>
      </c>
      <c r="H445" s="21">
        <f t="shared" si="35"/>
        <v>10.4</v>
      </c>
      <c r="I445" s="21">
        <v>10.4</v>
      </c>
      <c r="J445" s="23" t="s">
        <v>24</v>
      </c>
      <c r="K445" s="23" t="s">
        <v>24</v>
      </c>
      <c r="L445" s="22">
        <v>5.9174561298786302E-3</v>
      </c>
      <c r="M445" s="134">
        <f t="shared" si="36"/>
        <v>5.9174561298786198E-3</v>
      </c>
      <c r="N445" s="231">
        <f t="shared" si="37"/>
        <v>1.0408340855860843E-17</v>
      </c>
    </row>
    <row r="446" spans="2:14" x14ac:dyDescent="0.45">
      <c r="B446" s="12">
        <v>18</v>
      </c>
      <c r="C446" s="111">
        <v>5</v>
      </c>
      <c r="D446" s="12">
        <v>7</v>
      </c>
      <c r="E446" s="22">
        <f t="shared" si="33"/>
        <v>3.3271289298904353E-4</v>
      </c>
      <c r="F446" s="129">
        <f t="shared" si="34"/>
        <v>4.87890977618477E-19</v>
      </c>
      <c r="G446" s="22">
        <v>3.3271289298904402E-4</v>
      </c>
      <c r="H446" s="21">
        <f t="shared" si="35"/>
        <v>9.8000000000000007</v>
      </c>
      <c r="I446" s="21">
        <v>9.8000000000000007</v>
      </c>
      <c r="J446" s="23" t="s">
        <v>24</v>
      </c>
      <c r="K446" s="23" t="s">
        <v>24</v>
      </c>
      <c r="L446" s="22">
        <v>9.8754889265890294E-3</v>
      </c>
      <c r="M446" s="134">
        <f t="shared" si="36"/>
        <v>9.8754889265890242E-3</v>
      </c>
      <c r="N446" s="231">
        <f t="shared" si="37"/>
        <v>0</v>
      </c>
    </row>
    <row r="447" spans="2:14" x14ac:dyDescent="0.45">
      <c r="B447" s="12">
        <v>18</v>
      </c>
      <c r="C447" s="111">
        <v>6</v>
      </c>
      <c r="D447" s="12">
        <v>6</v>
      </c>
      <c r="E447" s="22">
        <f t="shared" si="33"/>
        <v>3.8816504182055076E-4</v>
      </c>
      <c r="F447" s="129">
        <f t="shared" si="34"/>
        <v>0</v>
      </c>
      <c r="G447" s="22">
        <v>3.8816504182055098E-4</v>
      </c>
      <c r="H447" s="21">
        <f t="shared" si="35"/>
        <v>9.6</v>
      </c>
      <c r="I447" s="21">
        <v>9.6</v>
      </c>
      <c r="J447" s="23" t="s">
        <v>24</v>
      </c>
      <c r="K447" s="23" t="s">
        <v>24</v>
      </c>
      <c r="L447" s="22">
        <v>1.1675618702440301E-2</v>
      </c>
      <c r="M447" s="134">
        <f t="shared" si="36"/>
        <v>1.167561870244037E-2</v>
      </c>
      <c r="N447" s="231">
        <f t="shared" si="37"/>
        <v>-6.9388939039072284E-17</v>
      </c>
    </row>
    <row r="448" spans="2:14" x14ac:dyDescent="0.45">
      <c r="B448" s="12">
        <v>18</v>
      </c>
      <c r="C448" s="111">
        <v>7</v>
      </c>
      <c r="D448" s="12">
        <v>5</v>
      </c>
      <c r="E448" s="22">
        <f t="shared" si="33"/>
        <v>3.3271289298904353E-4</v>
      </c>
      <c r="F448" s="129">
        <f t="shared" si="34"/>
        <v>4.87890977618477E-19</v>
      </c>
      <c r="G448" s="22">
        <v>3.3271289298904402E-4</v>
      </c>
      <c r="H448" s="21">
        <f t="shared" si="35"/>
        <v>9.8000000000000007</v>
      </c>
      <c r="I448" s="21">
        <v>9.8000000000000007</v>
      </c>
      <c r="J448" s="23" t="s">
        <v>24</v>
      </c>
      <c r="K448" s="23" t="s">
        <v>24</v>
      </c>
      <c r="L448" s="22">
        <v>9.8754889265890294E-3</v>
      </c>
      <c r="M448" s="134">
        <f t="shared" si="36"/>
        <v>9.8754889265890242E-3</v>
      </c>
      <c r="N448" s="231">
        <f t="shared" si="37"/>
        <v>0</v>
      </c>
    </row>
    <row r="449" spans="2:14" x14ac:dyDescent="0.45">
      <c r="B449" s="12">
        <v>18</v>
      </c>
      <c r="C449" s="111">
        <v>8</v>
      </c>
      <c r="D449" s="12">
        <v>4</v>
      </c>
      <c r="E449" s="22">
        <f t="shared" si="33"/>
        <v>2.0794555811815219E-4</v>
      </c>
      <c r="F449" s="129">
        <f t="shared" si="34"/>
        <v>0</v>
      </c>
      <c r="G449" s="22">
        <v>2.07945558118152E-4</v>
      </c>
      <c r="H449" s="21">
        <f t="shared" si="35"/>
        <v>10.4</v>
      </c>
      <c r="I449" s="21">
        <v>10.4</v>
      </c>
      <c r="J449" s="23" t="s">
        <v>24</v>
      </c>
      <c r="K449" s="23" t="s">
        <v>24</v>
      </c>
      <c r="L449" s="22">
        <v>5.9174561298786302E-3</v>
      </c>
      <c r="M449" s="134">
        <f t="shared" si="36"/>
        <v>5.9174561298786206E-3</v>
      </c>
      <c r="N449" s="231">
        <f t="shared" si="37"/>
        <v>9.540979117872439E-18</v>
      </c>
    </row>
    <row r="450" spans="2:14" x14ac:dyDescent="0.45">
      <c r="B450" s="12">
        <v>18</v>
      </c>
      <c r="C450" s="111">
        <v>9</v>
      </c>
      <c r="D450" s="12">
        <v>3</v>
      </c>
      <c r="E450" s="22">
        <f t="shared" si="33"/>
        <v>9.2420248052512083E-5</v>
      </c>
      <c r="F450" s="129">
        <f t="shared" si="34"/>
        <v>0</v>
      </c>
      <c r="G450" s="22">
        <v>9.2420248052512097E-5</v>
      </c>
      <c r="H450" s="21">
        <f t="shared" si="35"/>
        <v>11.4</v>
      </c>
      <c r="I450" s="21">
        <v>11.4</v>
      </c>
      <c r="J450" s="23" t="s">
        <v>24</v>
      </c>
      <c r="K450" s="23" t="s">
        <v>24</v>
      </c>
      <c r="L450" s="22">
        <v>2.4296770921707002E-3</v>
      </c>
      <c r="M450" s="134">
        <f t="shared" si="36"/>
        <v>2.4296770921706924E-3</v>
      </c>
      <c r="N450" s="231">
        <f t="shared" si="37"/>
        <v>7.8062556418956319E-18</v>
      </c>
    </row>
    <row r="451" spans="2:14" x14ac:dyDescent="0.45">
      <c r="B451" s="12">
        <v>18</v>
      </c>
      <c r="C451" s="111">
        <v>10</v>
      </c>
      <c r="D451" s="12">
        <v>2</v>
      </c>
      <c r="E451" s="22">
        <f t="shared" si="33"/>
        <v>2.7726074415753628E-5</v>
      </c>
      <c r="F451" s="129">
        <f t="shared" si="34"/>
        <v>-2.7105054312137611E-20</v>
      </c>
      <c r="G451" s="22">
        <v>2.7726074415753601E-5</v>
      </c>
      <c r="H451" s="21">
        <f t="shared" si="35"/>
        <v>12.8</v>
      </c>
      <c r="I451" s="21">
        <v>12.8</v>
      </c>
      <c r="J451" s="23" t="s">
        <v>24</v>
      </c>
      <c r="K451" s="23" t="s">
        <v>24</v>
      </c>
      <c r="L451" s="22">
        <v>6.3538201383358996E-4</v>
      </c>
      <c r="M451" s="134">
        <f t="shared" si="36"/>
        <v>6.3538201383358584E-4</v>
      </c>
      <c r="N451" s="231">
        <f t="shared" si="37"/>
        <v>4.1199682554449168E-18</v>
      </c>
    </row>
    <row r="452" spans="2:14" x14ac:dyDescent="0.45">
      <c r="B452" s="12">
        <v>18</v>
      </c>
      <c r="C452" s="111">
        <v>11</v>
      </c>
      <c r="D452" s="12">
        <v>1</v>
      </c>
      <c r="E452" s="22">
        <f t="shared" si="33"/>
        <v>5.0411044392279319E-6</v>
      </c>
      <c r="F452" s="129">
        <f t="shared" si="34"/>
        <v>0</v>
      </c>
      <c r="G452" s="22">
        <v>5.0411044392279302E-6</v>
      </c>
      <c r="H452" s="21">
        <f t="shared" si="35"/>
        <v>14.6</v>
      </c>
      <c r="I452" s="21">
        <v>14.6</v>
      </c>
      <c r="J452" s="23" t="s">
        <v>24</v>
      </c>
      <c r="K452" s="23" t="s">
        <v>24</v>
      </c>
      <c r="L452" s="22">
        <v>8.9079007875550003E-5</v>
      </c>
      <c r="M452" s="134">
        <f t="shared" si="36"/>
        <v>8.9079007875549353E-5</v>
      </c>
      <c r="N452" s="231">
        <f t="shared" si="37"/>
        <v>6.5052130349130266E-19</v>
      </c>
    </row>
    <row r="453" spans="2:14" x14ac:dyDescent="0.45">
      <c r="B453" s="12">
        <v>18</v>
      </c>
      <c r="C453" s="111">
        <v>12</v>
      </c>
      <c r="D453" s="195">
        <v>0</v>
      </c>
      <c r="E453" s="22">
        <f t="shared" si="33"/>
        <v>4.2009203660232764E-7</v>
      </c>
      <c r="F453" s="129">
        <f t="shared" si="34"/>
        <v>0</v>
      </c>
      <c r="G453" s="22">
        <v>4.2009203660232801E-7</v>
      </c>
      <c r="H453" s="21">
        <f t="shared" si="35"/>
        <v>16.8</v>
      </c>
      <c r="I453" s="21">
        <v>16.8</v>
      </c>
      <c r="J453" s="23" t="s">
        <v>24</v>
      </c>
      <c r="K453" s="23" t="s">
        <v>24</v>
      </c>
      <c r="L453" s="22">
        <v>2.8504928472799999E-6</v>
      </c>
      <c r="M453" s="207">
        <f>1/(((B453/10)^B453)*((C453/10)^C453))</f>
        <v>2.8504928472754814E-6</v>
      </c>
      <c r="N453" s="231">
        <f t="shared" si="37"/>
        <v>4.5184972571280652E-18</v>
      </c>
    </row>
    <row r="454" spans="2:14" x14ac:dyDescent="0.45">
      <c r="B454" s="12">
        <v>19</v>
      </c>
      <c r="C454" s="195">
        <v>0</v>
      </c>
      <c r="D454" s="12">
        <v>11</v>
      </c>
      <c r="E454" s="22">
        <f t="shared" si="33"/>
        <v>2.6532128627515431E-7</v>
      </c>
      <c r="F454" s="129">
        <f t="shared" si="34"/>
        <v>0</v>
      </c>
      <c r="G454" s="22">
        <v>2.65321286275154E-7</v>
      </c>
      <c r="H454" s="21">
        <f t="shared" si="35"/>
        <v>18.2</v>
      </c>
      <c r="I454" s="21">
        <v>18.2</v>
      </c>
      <c r="J454" s="23" t="s">
        <v>24</v>
      </c>
      <c r="K454" s="23" t="s">
        <v>24</v>
      </c>
      <c r="L454" s="22">
        <v>1.7715852068E-6</v>
      </c>
      <c r="M454" s="207">
        <f>1/(((B454/10)^B454)*((D454/10)^D454))</f>
        <v>1.7715852068019011E-6</v>
      </c>
      <c r="N454" s="231">
        <f t="shared" si="37"/>
        <v>-1.9011654501122771E-18</v>
      </c>
    </row>
    <row r="455" spans="2:14" x14ac:dyDescent="0.45">
      <c r="B455" s="12">
        <v>19</v>
      </c>
      <c r="C455" s="111">
        <v>1</v>
      </c>
      <c r="D455" s="12">
        <v>10</v>
      </c>
      <c r="E455" s="22">
        <f t="shared" si="33"/>
        <v>2.9185341490266974E-6</v>
      </c>
      <c r="F455" s="129">
        <f t="shared" si="34"/>
        <v>0</v>
      </c>
      <c r="G455" s="22">
        <v>2.9185341490266999E-6</v>
      </c>
      <c r="H455" s="21">
        <f t="shared" si="35"/>
        <v>16.2</v>
      </c>
      <c r="I455" s="21">
        <v>16.2</v>
      </c>
      <c r="J455" s="23" t="s">
        <v>24</v>
      </c>
      <c r="K455" s="23" t="s">
        <v>24</v>
      </c>
      <c r="L455" s="22">
        <v>5.0545393498239999E-5</v>
      </c>
      <c r="M455" s="134">
        <f t="shared" si="36"/>
        <v>5.0545393498238474E-5</v>
      </c>
      <c r="N455" s="231">
        <f t="shared" si="37"/>
        <v>1.5246593050577406E-18</v>
      </c>
    </row>
    <row r="456" spans="2:14" x14ac:dyDescent="0.45">
      <c r="B456" s="12">
        <v>19</v>
      </c>
      <c r="C456" s="111">
        <v>2</v>
      </c>
      <c r="D456" s="12">
        <v>9</v>
      </c>
      <c r="E456" s="22">
        <f t="shared" si="33"/>
        <v>1.4592670745133487E-5</v>
      </c>
      <c r="F456" s="129">
        <f t="shared" si="34"/>
        <v>0</v>
      </c>
      <c r="G456" s="22">
        <v>1.4592670745133499E-5</v>
      </c>
      <c r="H456" s="21">
        <f t="shared" si="35"/>
        <v>14.6</v>
      </c>
      <c r="I456" s="21">
        <v>14.6</v>
      </c>
      <c r="J456" s="23" t="s">
        <v>24</v>
      </c>
      <c r="K456" s="23" t="s">
        <v>24</v>
      </c>
      <c r="L456" s="22">
        <v>3.2616623883719001E-4</v>
      </c>
      <c r="M456" s="134">
        <f t="shared" si="36"/>
        <v>3.2616623883719305E-4</v>
      </c>
      <c r="N456" s="231">
        <f t="shared" si="37"/>
        <v>-3.0357660829594124E-18</v>
      </c>
    </row>
    <row r="457" spans="2:14" x14ac:dyDescent="0.45">
      <c r="B457" s="12">
        <v>19</v>
      </c>
      <c r="C457" s="111">
        <v>3</v>
      </c>
      <c r="D457" s="12">
        <v>8</v>
      </c>
      <c r="E457" s="22">
        <f t="shared" si="33"/>
        <v>4.3778012235400464E-5</v>
      </c>
      <c r="F457" s="129">
        <f t="shared" si="34"/>
        <v>0</v>
      </c>
      <c r="G457" s="22">
        <v>4.3778012235400498E-5</v>
      </c>
      <c r="H457" s="21">
        <f t="shared" si="35"/>
        <v>13.4</v>
      </c>
      <c r="I457" s="21">
        <v>13.4</v>
      </c>
      <c r="J457" s="23" t="s">
        <v>24</v>
      </c>
      <c r="K457" s="23" t="s">
        <v>24</v>
      </c>
      <c r="L457" s="22">
        <v>1.1158297127758701E-3</v>
      </c>
      <c r="M457" s="134">
        <f t="shared" si="36"/>
        <v>1.1158297127758668E-3</v>
      </c>
      <c r="N457" s="231">
        <f t="shared" si="37"/>
        <v>3.2526065174565133E-18</v>
      </c>
    </row>
    <row r="458" spans="2:14" x14ac:dyDescent="0.45">
      <c r="B458" s="12">
        <v>19</v>
      </c>
      <c r="C458" s="111">
        <v>4</v>
      </c>
      <c r="D458" s="12">
        <v>7</v>
      </c>
      <c r="E458" s="22">
        <f t="shared" si="33"/>
        <v>8.7556024470800928E-5</v>
      </c>
      <c r="F458" s="129">
        <f t="shared" si="34"/>
        <v>0</v>
      </c>
      <c r="G458" s="22">
        <v>8.7556024470800996E-5</v>
      </c>
      <c r="H458" s="21">
        <f t="shared" si="35"/>
        <v>12.6</v>
      </c>
      <c r="I458" s="21">
        <v>12.6</v>
      </c>
      <c r="J458" s="23" t="s">
        <v>24</v>
      </c>
      <c r="K458" s="23" t="s">
        <v>24</v>
      </c>
      <c r="L458" s="22">
        <v>2.3974818965432801E-3</v>
      </c>
      <c r="M458" s="134">
        <f t="shared" si="36"/>
        <v>2.3974818965432779E-3</v>
      </c>
      <c r="N458" s="231">
        <f t="shared" si="37"/>
        <v>0</v>
      </c>
    </row>
    <row r="459" spans="2:14" x14ac:dyDescent="0.45">
      <c r="B459" s="12">
        <v>19</v>
      </c>
      <c r="C459" s="111">
        <v>5</v>
      </c>
      <c r="D459" s="12">
        <v>6</v>
      </c>
      <c r="E459" s="22">
        <f t="shared" si="33"/>
        <v>1.2257843425912129E-4</v>
      </c>
      <c r="F459" s="129">
        <f t="shared" si="34"/>
        <v>-2.9815559743351372E-19</v>
      </c>
      <c r="G459" s="22">
        <v>1.2257843425912099E-4</v>
      </c>
      <c r="H459" s="21">
        <f t="shared" si="35"/>
        <v>12.2</v>
      </c>
      <c r="I459" s="21">
        <v>12.2</v>
      </c>
      <c r="J459" s="23" t="s">
        <v>24</v>
      </c>
      <c r="K459" s="23" t="s">
        <v>24</v>
      </c>
      <c r="L459" s="22">
        <v>3.4667622426775399E-3</v>
      </c>
      <c r="M459" s="134">
        <f t="shared" si="36"/>
        <v>3.4667622426775365E-3</v>
      </c>
      <c r="N459" s="231">
        <f t="shared" si="37"/>
        <v>3.4694469519536142E-18</v>
      </c>
    </row>
    <row r="460" spans="2:14" x14ac:dyDescent="0.45">
      <c r="B460" s="12">
        <v>19</v>
      </c>
      <c r="C460" s="111">
        <v>6</v>
      </c>
      <c r="D460" s="12">
        <v>5</v>
      </c>
      <c r="E460" s="22">
        <f t="shared" si="33"/>
        <v>1.2257843425912129E-4</v>
      </c>
      <c r="F460" s="129">
        <f t="shared" si="34"/>
        <v>-2.9815559743351372E-19</v>
      </c>
      <c r="G460" s="22">
        <v>1.2257843425912099E-4</v>
      </c>
      <c r="H460" s="21">
        <f t="shared" si="35"/>
        <v>12.2</v>
      </c>
      <c r="I460" s="21">
        <v>12.2</v>
      </c>
      <c r="J460" s="23" t="s">
        <v>24</v>
      </c>
      <c r="K460" s="23" t="s">
        <v>24</v>
      </c>
      <c r="L460" s="22">
        <v>3.4667622426775399E-3</v>
      </c>
      <c r="M460" s="134">
        <f t="shared" si="36"/>
        <v>3.4667622426775365E-3</v>
      </c>
      <c r="N460" s="231">
        <f t="shared" si="37"/>
        <v>3.4694469519536142E-18</v>
      </c>
    </row>
    <row r="461" spans="2:14" x14ac:dyDescent="0.45">
      <c r="B461" s="12">
        <v>19</v>
      </c>
      <c r="C461" s="111">
        <v>7</v>
      </c>
      <c r="D461" s="12">
        <v>4</v>
      </c>
      <c r="E461" s="22">
        <f t="shared" si="33"/>
        <v>8.7556024470800928E-5</v>
      </c>
      <c r="F461" s="129">
        <f t="shared" si="34"/>
        <v>0</v>
      </c>
      <c r="G461" s="22">
        <v>8.7556024470800996E-5</v>
      </c>
      <c r="H461" s="21">
        <f t="shared" si="35"/>
        <v>12.6</v>
      </c>
      <c r="I461" s="21">
        <v>12.6</v>
      </c>
      <c r="J461" s="23" t="s">
        <v>24</v>
      </c>
      <c r="K461" s="23" t="s">
        <v>24</v>
      </c>
      <c r="L461" s="22">
        <v>2.3974818965432801E-3</v>
      </c>
      <c r="M461" s="134">
        <f t="shared" si="36"/>
        <v>2.3974818965432779E-3</v>
      </c>
      <c r="N461" s="231">
        <f t="shared" si="37"/>
        <v>0</v>
      </c>
    </row>
    <row r="462" spans="2:14" x14ac:dyDescent="0.45">
      <c r="B462" s="12">
        <v>19</v>
      </c>
      <c r="C462" s="111">
        <v>8</v>
      </c>
      <c r="D462" s="12">
        <v>3</v>
      </c>
      <c r="E462" s="22">
        <f t="shared" si="33"/>
        <v>4.3778012235400464E-5</v>
      </c>
      <c r="F462" s="129">
        <f t="shared" si="34"/>
        <v>0</v>
      </c>
      <c r="G462" s="22">
        <v>4.3778012235400498E-5</v>
      </c>
      <c r="H462" s="21">
        <f t="shared" si="35"/>
        <v>13.4</v>
      </c>
      <c r="I462" s="21">
        <v>13.4</v>
      </c>
      <c r="J462" s="23" t="s">
        <v>24</v>
      </c>
      <c r="K462" s="23" t="s">
        <v>24</v>
      </c>
      <c r="L462" s="22">
        <v>1.1158297127758701E-3</v>
      </c>
      <c r="M462" s="134">
        <f t="shared" si="36"/>
        <v>1.1158297127758668E-3</v>
      </c>
      <c r="N462" s="231">
        <f t="shared" si="37"/>
        <v>3.2526065174565133E-18</v>
      </c>
    </row>
    <row r="463" spans="2:14" x14ac:dyDescent="0.45">
      <c r="B463" s="12">
        <v>19</v>
      </c>
      <c r="C463" s="111">
        <v>9</v>
      </c>
      <c r="D463" s="12">
        <v>2</v>
      </c>
      <c r="E463" s="22">
        <f t="shared" si="33"/>
        <v>1.4592670745133487E-5</v>
      </c>
      <c r="F463" s="129">
        <f t="shared" si="34"/>
        <v>0</v>
      </c>
      <c r="G463" s="22">
        <v>1.4592670745133499E-5</v>
      </c>
      <c r="H463" s="21">
        <f t="shared" si="35"/>
        <v>14.6</v>
      </c>
      <c r="I463" s="21">
        <v>14.6</v>
      </c>
      <c r="J463" s="23" t="s">
        <v>24</v>
      </c>
      <c r="K463" s="23" t="s">
        <v>24</v>
      </c>
      <c r="L463" s="22">
        <v>3.2616623883719001E-4</v>
      </c>
      <c r="M463" s="134">
        <f t="shared" si="36"/>
        <v>3.2616623883719305E-4</v>
      </c>
      <c r="N463" s="231">
        <f t="shared" si="37"/>
        <v>-3.0357660829594124E-18</v>
      </c>
    </row>
    <row r="464" spans="2:14" x14ac:dyDescent="0.45">
      <c r="B464" s="12">
        <v>19</v>
      </c>
      <c r="C464" s="111">
        <v>10</v>
      </c>
      <c r="D464" s="12">
        <v>1</v>
      </c>
      <c r="E464" s="22">
        <f t="shared" si="33"/>
        <v>2.9185341490266974E-6</v>
      </c>
      <c r="F464" s="129">
        <f t="shared" si="34"/>
        <v>0</v>
      </c>
      <c r="G464" s="22">
        <v>2.9185341490266999E-6</v>
      </c>
      <c r="H464" s="21">
        <f t="shared" si="35"/>
        <v>16.2</v>
      </c>
      <c r="I464" s="21">
        <v>16.2</v>
      </c>
      <c r="J464" s="23" t="s">
        <v>24</v>
      </c>
      <c r="K464" s="23" t="s">
        <v>24</v>
      </c>
      <c r="L464" s="22">
        <v>5.0545393498239999E-5</v>
      </c>
      <c r="M464" s="134">
        <f t="shared" si="36"/>
        <v>5.0545393498238474E-5</v>
      </c>
      <c r="N464" s="231">
        <f t="shared" si="37"/>
        <v>1.5246593050577406E-18</v>
      </c>
    </row>
    <row r="465" spans="2:14" x14ac:dyDescent="0.45">
      <c r="B465" s="12">
        <v>19</v>
      </c>
      <c r="C465" s="111">
        <v>11</v>
      </c>
      <c r="D465" s="195">
        <v>0</v>
      </c>
      <c r="E465" s="22">
        <f t="shared" si="33"/>
        <v>2.6532128627515431E-7</v>
      </c>
      <c r="F465" s="129">
        <f t="shared" si="34"/>
        <v>0</v>
      </c>
      <c r="G465" s="22">
        <v>2.65321286275154E-7</v>
      </c>
      <c r="H465" s="21">
        <f t="shared" si="35"/>
        <v>18.2</v>
      </c>
      <c r="I465" s="21">
        <v>18.2</v>
      </c>
      <c r="J465" s="23" t="s">
        <v>24</v>
      </c>
      <c r="K465" s="23" t="s">
        <v>24</v>
      </c>
      <c r="L465" s="22">
        <v>1.7715852068E-6</v>
      </c>
      <c r="M465" s="207">
        <f>1/(((B465/10)^B465)*((C465/10)^C465))</f>
        <v>1.7715852068019011E-6</v>
      </c>
      <c r="N465" s="231">
        <f t="shared" si="37"/>
        <v>-1.9011654501122771E-18</v>
      </c>
    </row>
    <row r="466" spans="2:14" x14ac:dyDescent="0.45">
      <c r="B466" s="12">
        <v>20</v>
      </c>
      <c r="C466" s="195">
        <v>0</v>
      </c>
      <c r="D466" s="12">
        <v>10</v>
      </c>
      <c r="E466" s="22">
        <f t="shared" si="33"/>
        <v>1.4592670745133486E-7</v>
      </c>
      <c r="F466" s="129">
        <f t="shared" si="34"/>
        <v>0</v>
      </c>
      <c r="G466" s="22">
        <v>1.45926707451335E-7</v>
      </c>
      <c r="H466" s="21">
        <f t="shared" si="35"/>
        <v>20</v>
      </c>
      <c r="I466" s="21">
        <v>20</v>
      </c>
      <c r="J466" s="23" t="s">
        <v>24</v>
      </c>
      <c r="K466" s="23" t="s">
        <v>24</v>
      </c>
      <c r="L466" s="22">
        <v>9.5367431641000003E-7</v>
      </c>
      <c r="M466" s="207">
        <f>1/(((B466/10)^B466)*((D466/10)^D466))</f>
        <v>9.5367431640625E-7</v>
      </c>
      <c r="N466" s="231">
        <f t="shared" si="37"/>
        <v>3.7500266157316012E-18</v>
      </c>
    </row>
    <row r="467" spans="2:14" x14ac:dyDescent="0.45">
      <c r="B467" s="12">
        <v>20</v>
      </c>
      <c r="C467" s="111">
        <v>1</v>
      </c>
      <c r="D467" s="12">
        <v>9</v>
      </c>
      <c r="E467" s="22">
        <f t="shared" si="33"/>
        <v>1.4592670745133487E-6</v>
      </c>
      <c r="F467" s="129">
        <f t="shared" si="34"/>
        <v>0</v>
      </c>
      <c r="G467" s="22">
        <v>1.45926707451335E-6</v>
      </c>
      <c r="H467" s="21">
        <f t="shared" si="35"/>
        <v>18.2</v>
      </c>
      <c r="I467" s="21">
        <v>18.2</v>
      </c>
      <c r="J467" s="23" t="s">
        <v>24</v>
      </c>
      <c r="K467" s="23" t="s">
        <v>24</v>
      </c>
      <c r="L467" s="22">
        <v>2.4616001050119999E-5</v>
      </c>
      <c r="M467" s="134">
        <f t="shared" si="36"/>
        <v>2.4616001050121269E-5</v>
      </c>
      <c r="N467" s="231">
        <f t="shared" si="37"/>
        <v>-1.2705494208814505E-18</v>
      </c>
    </row>
    <row r="468" spans="2:14" x14ac:dyDescent="0.45">
      <c r="B468" s="12">
        <v>20</v>
      </c>
      <c r="C468" s="111">
        <v>2</v>
      </c>
      <c r="D468" s="12">
        <v>8</v>
      </c>
      <c r="E468" s="22">
        <f t="shared" si="33"/>
        <v>6.5667018353100693E-6</v>
      </c>
      <c r="F468" s="129">
        <f t="shared" si="34"/>
        <v>0</v>
      </c>
      <c r="G468" s="22">
        <v>6.5667018353100701E-6</v>
      </c>
      <c r="H468" s="21">
        <f t="shared" si="35"/>
        <v>16.8</v>
      </c>
      <c r="I468" s="21">
        <v>16.8</v>
      </c>
      <c r="J468" s="23" t="s">
        <v>24</v>
      </c>
      <c r="K468" s="23" t="s">
        <v>24</v>
      </c>
      <c r="L468" s="22">
        <v>1.4210854715202001E-4</v>
      </c>
      <c r="M468" s="134">
        <f t="shared" si="36"/>
        <v>1.4210854715201987E-4</v>
      </c>
      <c r="N468" s="231">
        <f t="shared" si="37"/>
        <v>0</v>
      </c>
    </row>
    <row r="469" spans="2:14" x14ac:dyDescent="0.45">
      <c r="B469" s="12">
        <v>20</v>
      </c>
      <c r="C469" s="111">
        <v>3</v>
      </c>
      <c r="D469" s="12">
        <v>7</v>
      </c>
      <c r="E469" s="22">
        <f t="shared" si="33"/>
        <v>1.7511204894160184E-5</v>
      </c>
      <c r="F469" s="129">
        <f t="shared" si="34"/>
        <v>0</v>
      </c>
      <c r="G469" s="22">
        <v>1.7511204894160201E-5</v>
      </c>
      <c r="H469" s="21">
        <f t="shared" si="35"/>
        <v>15.8</v>
      </c>
      <c r="I469" s="21">
        <v>15.8</v>
      </c>
      <c r="J469" s="23" t="s">
        <v>24</v>
      </c>
      <c r="K469" s="23" t="s">
        <v>24</v>
      </c>
      <c r="L469" s="22">
        <v>4.2889407083793998E-4</v>
      </c>
      <c r="M469" s="134">
        <f t="shared" si="36"/>
        <v>4.2889407083794389E-4</v>
      </c>
      <c r="N469" s="231">
        <f t="shared" si="37"/>
        <v>-3.903127820947816E-18</v>
      </c>
    </row>
    <row r="470" spans="2:14" x14ac:dyDescent="0.45">
      <c r="B470" s="12">
        <v>20</v>
      </c>
      <c r="C470" s="111">
        <v>4</v>
      </c>
      <c r="D470" s="12">
        <v>6</v>
      </c>
      <c r="E470" s="22">
        <f t="shared" si="33"/>
        <v>3.0644608564780322E-5</v>
      </c>
      <c r="F470" s="129">
        <f t="shared" si="34"/>
        <v>0</v>
      </c>
      <c r="G470" s="22">
        <v>3.0644608564780302E-5</v>
      </c>
      <c r="H470" s="21">
        <f t="shared" si="35"/>
        <v>15.2</v>
      </c>
      <c r="I470" s="21">
        <v>15.2</v>
      </c>
      <c r="J470" s="23" t="s">
        <v>24</v>
      </c>
      <c r="K470" s="23" t="s">
        <v>24</v>
      </c>
      <c r="L470" s="22">
        <v>7.9845899744124997E-4</v>
      </c>
      <c r="M470" s="134">
        <f t="shared" si="36"/>
        <v>7.9845899744125366E-4</v>
      </c>
      <c r="N470" s="231">
        <f t="shared" si="37"/>
        <v>-3.6862873864507151E-18</v>
      </c>
    </row>
    <row r="471" spans="2:14" x14ac:dyDescent="0.45">
      <c r="B471" s="12">
        <v>20</v>
      </c>
      <c r="C471" s="111">
        <v>5</v>
      </c>
      <c r="D471" s="12">
        <v>5</v>
      </c>
      <c r="E471" s="22">
        <f t="shared" si="33"/>
        <v>3.6773530277736389E-5</v>
      </c>
      <c r="F471" s="129">
        <f t="shared" si="34"/>
        <v>0</v>
      </c>
      <c r="G471" s="22">
        <v>3.6773530277736403E-5</v>
      </c>
      <c r="H471" s="21">
        <f t="shared" si="35"/>
        <v>15</v>
      </c>
      <c r="I471" s="21">
        <v>15</v>
      </c>
      <c r="J471" s="23" t="s">
        <v>24</v>
      </c>
      <c r="K471" s="23" t="s">
        <v>24</v>
      </c>
      <c r="L471" s="22">
        <v>9.765625E-4</v>
      </c>
      <c r="M471" s="134">
        <f t="shared" si="36"/>
        <v>9.765625E-4</v>
      </c>
      <c r="N471" s="231">
        <f t="shared" si="37"/>
        <v>0</v>
      </c>
    </row>
    <row r="472" spans="2:14" x14ac:dyDescent="0.45">
      <c r="B472" s="12">
        <v>20</v>
      </c>
      <c r="C472" s="111">
        <v>6</v>
      </c>
      <c r="D472" s="12">
        <v>4</v>
      </c>
      <c r="E472" s="22">
        <f t="shared" si="33"/>
        <v>3.0644608564780322E-5</v>
      </c>
      <c r="F472" s="129">
        <f t="shared" si="34"/>
        <v>0</v>
      </c>
      <c r="G472" s="22">
        <v>3.0644608564780302E-5</v>
      </c>
      <c r="H472" s="21">
        <f t="shared" si="35"/>
        <v>15.2</v>
      </c>
      <c r="I472" s="21">
        <v>15.2</v>
      </c>
      <c r="J472" s="23" t="s">
        <v>24</v>
      </c>
      <c r="K472" s="23" t="s">
        <v>24</v>
      </c>
      <c r="L472" s="22">
        <v>7.9845899744124997E-4</v>
      </c>
      <c r="M472" s="134">
        <f t="shared" si="36"/>
        <v>7.9845899744125366E-4</v>
      </c>
      <c r="N472" s="231">
        <f t="shared" si="37"/>
        <v>-3.6862873864507151E-18</v>
      </c>
    </row>
    <row r="473" spans="2:14" x14ac:dyDescent="0.45">
      <c r="B473" s="12">
        <v>20</v>
      </c>
      <c r="C473" s="111">
        <v>7</v>
      </c>
      <c r="D473" s="12">
        <v>3</v>
      </c>
      <c r="E473" s="22">
        <f t="shared" si="33"/>
        <v>1.7511204894160184E-5</v>
      </c>
      <c r="F473" s="129">
        <f t="shared" si="34"/>
        <v>0</v>
      </c>
      <c r="G473" s="22">
        <v>1.7511204894160201E-5</v>
      </c>
      <c r="H473" s="21">
        <f t="shared" si="35"/>
        <v>15.8</v>
      </c>
      <c r="I473" s="21">
        <v>15.8</v>
      </c>
      <c r="J473" s="23" t="s">
        <v>24</v>
      </c>
      <c r="K473" s="23" t="s">
        <v>24</v>
      </c>
      <c r="L473" s="22">
        <v>4.2889407083793998E-4</v>
      </c>
      <c r="M473" s="134">
        <f t="shared" si="36"/>
        <v>4.2889407083794389E-4</v>
      </c>
      <c r="N473" s="231">
        <f t="shared" si="37"/>
        <v>-3.903127820947816E-18</v>
      </c>
    </row>
    <row r="474" spans="2:14" x14ac:dyDescent="0.45">
      <c r="B474" s="12">
        <v>20</v>
      </c>
      <c r="C474" s="111">
        <v>8</v>
      </c>
      <c r="D474" s="12">
        <v>2</v>
      </c>
      <c r="E474" s="22">
        <f t="shared" si="33"/>
        <v>6.5667018353100693E-6</v>
      </c>
      <c r="F474" s="129">
        <f t="shared" si="34"/>
        <v>0</v>
      </c>
      <c r="G474" s="22">
        <v>6.5667018353100701E-6</v>
      </c>
      <c r="H474" s="21">
        <f t="shared" si="35"/>
        <v>16.8</v>
      </c>
      <c r="I474" s="21">
        <v>16.8</v>
      </c>
      <c r="J474" s="23" t="s">
        <v>24</v>
      </c>
      <c r="K474" s="23" t="s">
        <v>24</v>
      </c>
      <c r="L474" s="22">
        <v>1.4210854715202001E-4</v>
      </c>
      <c r="M474" s="134">
        <f t="shared" si="36"/>
        <v>1.4210854715201987E-4</v>
      </c>
      <c r="N474" s="231">
        <f t="shared" si="37"/>
        <v>0</v>
      </c>
    </row>
    <row r="475" spans="2:14" x14ac:dyDescent="0.45">
      <c r="B475" s="12">
        <v>20</v>
      </c>
      <c r="C475" s="111">
        <v>9</v>
      </c>
      <c r="D475" s="12">
        <v>1</v>
      </c>
      <c r="E475" s="22">
        <f t="shared" si="33"/>
        <v>1.4592670745133487E-6</v>
      </c>
      <c r="F475" s="129">
        <f t="shared" si="34"/>
        <v>0</v>
      </c>
      <c r="G475" s="22">
        <v>1.45926707451335E-6</v>
      </c>
      <c r="H475" s="21">
        <f t="shared" si="35"/>
        <v>18.2</v>
      </c>
      <c r="I475" s="21">
        <v>18.2</v>
      </c>
      <c r="J475" s="23" t="s">
        <v>24</v>
      </c>
      <c r="K475" s="23" t="s">
        <v>24</v>
      </c>
      <c r="L475" s="22">
        <v>2.4616001050119999E-5</v>
      </c>
      <c r="M475" s="134">
        <f t="shared" si="36"/>
        <v>2.4616001050121269E-5</v>
      </c>
      <c r="N475" s="231">
        <f t="shared" si="37"/>
        <v>-1.2705494208814505E-18</v>
      </c>
    </row>
    <row r="476" spans="2:14" x14ac:dyDescent="0.45">
      <c r="B476" s="12">
        <v>20</v>
      </c>
      <c r="C476" s="111">
        <v>10</v>
      </c>
      <c r="D476" s="195">
        <v>0</v>
      </c>
      <c r="E476" s="22">
        <f t="shared" si="33"/>
        <v>1.4592670745133486E-7</v>
      </c>
      <c r="F476" s="129">
        <f t="shared" si="34"/>
        <v>0</v>
      </c>
      <c r="G476" s="22">
        <v>1.45926707451335E-7</v>
      </c>
      <c r="H476" s="21">
        <f t="shared" si="35"/>
        <v>20</v>
      </c>
      <c r="I476" s="21">
        <v>20</v>
      </c>
      <c r="J476" s="23" t="s">
        <v>24</v>
      </c>
      <c r="K476" s="23" t="s">
        <v>24</v>
      </c>
      <c r="L476" s="22">
        <v>9.5367431641000003E-7</v>
      </c>
      <c r="M476" s="207">
        <f>1/(((B476/10)^B476)*((C476/10)^C476))</f>
        <v>9.5367431640625E-7</v>
      </c>
      <c r="N476" s="231">
        <f t="shared" si="37"/>
        <v>3.7500266157316012E-18</v>
      </c>
    </row>
    <row r="477" spans="2:14" x14ac:dyDescent="0.45">
      <c r="B477" s="12">
        <v>21</v>
      </c>
      <c r="C477" s="195">
        <v>0</v>
      </c>
      <c r="D477" s="12">
        <v>9</v>
      </c>
      <c r="E477" s="22">
        <f t="shared" si="33"/>
        <v>6.9488908310159462E-8</v>
      </c>
      <c r="F477" s="129">
        <f t="shared" si="34"/>
        <v>0</v>
      </c>
      <c r="G477" s="22">
        <v>6.9488908310159502E-8</v>
      </c>
      <c r="H477" s="21">
        <f t="shared" si="35"/>
        <v>22.2</v>
      </c>
      <c r="I477" s="21">
        <v>22.2</v>
      </c>
      <c r="J477" s="23" t="s">
        <v>24</v>
      </c>
      <c r="K477" s="23" t="s">
        <v>24</v>
      </c>
      <c r="L477" s="22">
        <v>4.4178628125000002E-7</v>
      </c>
      <c r="M477" s="207">
        <f>1/(((B477/10)^B477)*((D477/10)^D477))</f>
        <v>4.4178628124673551E-7</v>
      </c>
      <c r="N477" s="231">
        <f t="shared" si="37"/>
        <v>3.2645179182772769E-18</v>
      </c>
    </row>
    <row r="478" spans="2:14" x14ac:dyDescent="0.45">
      <c r="B478" s="12">
        <v>21</v>
      </c>
      <c r="C478" s="111">
        <v>1</v>
      </c>
      <c r="D478" s="12">
        <v>8</v>
      </c>
      <c r="E478" s="22">
        <f t="shared" si="33"/>
        <v>6.2540017479143516E-7</v>
      </c>
      <c r="F478" s="129">
        <f t="shared" si="34"/>
        <v>0</v>
      </c>
      <c r="G478" s="22">
        <v>6.2540017479143505E-7</v>
      </c>
      <c r="H478" s="21">
        <f t="shared" si="35"/>
        <v>20.6</v>
      </c>
      <c r="I478" s="21">
        <v>20.6</v>
      </c>
      <c r="J478" s="23" t="s">
        <v>24</v>
      </c>
      <c r="K478" s="23" t="s">
        <v>24</v>
      </c>
      <c r="L478" s="22">
        <v>1.020175559009E-5</v>
      </c>
      <c r="M478" s="134">
        <f t="shared" si="36"/>
        <v>1.0201755590087278E-5</v>
      </c>
      <c r="N478" s="231">
        <f t="shared" si="37"/>
        <v>2.7223638924753213E-18</v>
      </c>
    </row>
    <row r="479" spans="2:14" x14ac:dyDescent="0.45">
      <c r="B479" s="12">
        <v>21</v>
      </c>
      <c r="C479" s="111">
        <v>2</v>
      </c>
      <c r="D479" s="12">
        <v>7</v>
      </c>
      <c r="E479" s="22">
        <f t="shared" si="33"/>
        <v>2.5016006991657406E-6</v>
      </c>
      <c r="F479" s="129">
        <f t="shared" si="34"/>
        <v>0</v>
      </c>
      <c r="G479" s="22">
        <v>2.5016006991657402E-6</v>
      </c>
      <c r="H479" s="21">
        <f t="shared" si="35"/>
        <v>19.399999999999999</v>
      </c>
      <c r="I479" s="21">
        <v>19.399999999999999</v>
      </c>
      <c r="J479" s="23" t="s">
        <v>24</v>
      </c>
      <c r="K479" s="23" t="s">
        <v>24</v>
      </c>
      <c r="L479" s="22">
        <v>5.1957535038879999E-5</v>
      </c>
      <c r="M479" s="134">
        <f t="shared" si="36"/>
        <v>5.1957535038881375E-5</v>
      </c>
      <c r="N479" s="231">
        <f t="shared" si="37"/>
        <v>-1.3755815063409838E-18</v>
      </c>
    </row>
    <row r="480" spans="2:14" x14ac:dyDescent="0.45">
      <c r="B480" s="12">
        <v>21</v>
      </c>
      <c r="C480" s="111">
        <v>3</v>
      </c>
      <c r="D480" s="12">
        <v>6</v>
      </c>
      <c r="E480" s="22">
        <f t="shared" si="33"/>
        <v>5.8370682980533948E-6</v>
      </c>
      <c r="F480" s="129">
        <f t="shared" si="34"/>
        <v>0</v>
      </c>
      <c r="G480" s="22">
        <v>5.8370682980533999E-6</v>
      </c>
      <c r="H480" s="21">
        <f t="shared" si="35"/>
        <v>18.600000000000001</v>
      </c>
      <c r="I480" s="21">
        <v>18.600000000000001</v>
      </c>
      <c r="J480" s="23" t="s">
        <v>24</v>
      </c>
      <c r="K480" s="23" t="s">
        <v>24</v>
      </c>
      <c r="L480" s="22">
        <v>1.358699902153E-4</v>
      </c>
      <c r="M480" s="134">
        <f t="shared" si="36"/>
        <v>1.3586999021530466E-4</v>
      </c>
      <c r="N480" s="231">
        <f t="shared" si="37"/>
        <v>-4.6620693416876691E-18</v>
      </c>
    </row>
    <row r="481" spans="2:14" x14ac:dyDescent="0.45">
      <c r="B481" s="12">
        <v>21</v>
      </c>
      <c r="C481" s="111">
        <v>4</v>
      </c>
      <c r="D481" s="12">
        <v>5</v>
      </c>
      <c r="E481" s="22">
        <f t="shared" si="33"/>
        <v>8.7556024470800918E-6</v>
      </c>
      <c r="F481" s="129">
        <f t="shared" si="34"/>
        <v>0</v>
      </c>
      <c r="G481" s="22">
        <v>8.7556024470801003E-6</v>
      </c>
      <c r="H481" s="21">
        <f t="shared" si="35"/>
        <v>18.2</v>
      </c>
      <c r="I481" s="21">
        <v>18.2</v>
      </c>
      <c r="J481" s="23" t="s">
        <v>24</v>
      </c>
      <c r="K481" s="23" t="s">
        <v>24</v>
      </c>
      <c r="L481" s="22">
        <v>2.1394632139263E-4</v>
      </c>
      <c r="M481" s="134">
        <f t="shared" si="36"/>
        <v>2.1394632139262723E-4</v>
      </c>
      <c r="N481" s="231">
        <f t="shared" si="37"/>
        <v>2.7647155398380363E-18</v>
      </c>
    </row>
    <row r="482" spans="2:14" x14ac:dyDescent="0.45">
      <c r="B482" s="12">
        <v>21</v>
      </c>
      <c r="C482" s="111">
        <v>5</v>
      </c>
      <c r="D482" s="12">
        <v>4</v>
      </c>
      <c r="E482" s="22">
        <f t="shared" si="33"/>
        <v>8.7556024470800918E-6</v>
      </c>
      <c r="F482" s="129">
        <f t="shared" si="34"/>
        <v>0</v>
      </c>
      <c r="G482" s="22">
        <v>8.7556024470801003E-6</v>
      </c>
      <c r="H482" s="21">
        <f t="shared" si="35"/>
        <v>18.2</v>
      </c>
      <c r="I482" s="21">
        <v>18.2</v>
      </c>
      <c r="J482" s="23" t="s">
        <v>24</v>
      </c>
      <c r="K482" s="23" t="s">
        <v>24</v>
      </c>
      <c r="L482" s="22">
        <v>2.1394632139263E-4</v>
      </c>
      <c r="M482" s="134">
        <f t="shared" si="36"/>
        <v>2.1394632139262723E-4</v>
      </c>
      <c r="N482" s="231">
        <f t="shared" si="37"/>
        <v>2.7647155398380363E-18</v>
      </c>
    </row>
    <row r="483" spans="2:14" x14ac:dyDescent="0.45">
      <c r="B483" s="12">
        <v>21</v>
      </c>
      <c r="C483" s="111">
        <v>6</v>
      </c>
      <c r="D483" s="12">
        <v>3</v>
      </c>
      <c r="E483" s="22">
        <f t="shared" si="33"/>
        <v>5.8370682980533948E-6</v>
      </c>
      <c r="F483" s="129">
        <f t="shared" si="34"/>
        <v>0</v>
      </c>
      <c r="G483" s="22">
        <v>5.8370682980533999E-6</v>
      </c>
      <c r="H483" s="21">
        <f t="shared" si="35"/>
        <v>18.600000000000001</v>
      </c>
      <c r="I483" s="21">
        <v>18.600000000000001</v>
      </c>
      <c r="J483" s="23" t="s">
        <v>24</v>
      </c>
      <c r="K483" s="23" t="s">
        <v>24</v>
      </c>
      <c r="L483" s="22">
        <v>1.358699902153E-4</v>
      </c>
      <c r="M483" s="134">
        <f t="shared" si="36"/>
        <v>1.3586999021530466E-4</v>
      </c>
      <c r="N483" s="231">
        <f t="shared" si="37"/>
        <v>-4.6620693416876691E-18</v>
      </c>
    </row>
    <row r="484" spans="2:14" x14ac:dyDescent="0.45">
      <c r="B484" s="12">
        <v>21</v>
      </c>
      <c r="C484" s="111">
        <v>7</v>
      </c>
      <c r="D484" s="12">
        <v>2</v>
      </c>
      <c r="E484" s="22">
        <f t="shared" si="33"/>
        <v>2.5016006991657406E-6</v>
      </c>
      <c r="F484" s="129">
        <f t="shared" si="34"/>
        <v>0</v>
      </c>
      <c r="G484" s="22">
        <v>2.5016006991657402E-6</v>
      </c>
      <c r="H484" s="21">
        <f t="shared" si="35"/>
        <v>19.399999999999999</v>
      </c>
      <c r="I484" s="21">
        <v>19.399999999999999</v>
      </c>
      <c r="J484" s="23" t="s">
        <v>24</v>
      </c>
      <c r="K484" s="23" t="s">
        <v>24</v>
      </c>
      <c r="L484" s="22">
        <v>5.1957535038879999E-5</v>
      </c>
      <c r="M484" s="134">
        <f t="shared" si="36"/>
        <v>5.1957535038881375E-5</v>
      </c>
      <c r="N484" s="231">
        <f t="shared" si="37"/>
        <v>-1.3755815063409838E-18</v>
      </c>
    </row>
    <row r="485" spans="2:14" x14ac:dyDescent="0.45">
      <c r="B485" s="12">
        <v>21</v>
      </c>
      <c r="C485" s="111">
        <v>8</v>
      </c>
      <c r="D485" s="12">
        <v>1</v>
      </c>
      <c r="E485" s="22">
        <f t="shared" ref="E485:E531" si="38">$E$36*FACT(30)/(FACT(B485)*FACT(C485)*FACT(D485))</f>
        <v>6.2540017479143516E-7</v>
      </c>
      <c r="F485" s="129">
        <f t="shared" ref="F485:F531" si="39">G485-E485</f>
        <v>0</v>
      </c>
      <c r="G485" s="22">
        <v>6.2540017479143505E-7</v>
      </c>
      <c r="H485" s="21">
        <f t="shared" ref="H485:H531" si="40">(((B485-10))^2+((C485-10))^2+((D485-10))^2)/10</f>
        <v>20.6</v>
      </c>
      <c r="I485" s="21">
        <v>20.6</v>
      </c>
      <c r="J485" s="23" t="s">
        <v>24</v>
      </c>
      <c r="K485" s="23" t="s">
        <v>24</v>
      </c>
      <c r="L485" s="22">
        <v>1.020175559009E-5</v>
      </c>
      <c r="M485" s="134">
        <f t="shared" ref="M485:M527" si="41">1/(((B485/10)^B485)*((C485/10)^C485)*((D485/10)^D485))</f>
        <v>1.0201755590087278E-5</v>
      </c>
      <c r="N485" s="231">
        <f t="shared" ref="N485:N531" si="42">L485-M485</f>
        <v>2.7223638924753213E-18</v>
      </c>
    </row>
    <row r="486" spans="2:14" x14ac:dyDescent="0.45">
      <c r="B486" s="12">
        <v>21</v>
      </c>
      <c r="C486" s="111">
        <v>9</v>
      </c>
      <c r="D486" s="195">
        <v>0</v>
      </c>
      <c r="E486" s="22">
        <f t="shared" si="38"/>
        <v>6.9488908310159462E-8</v>
      </c>
      <c r="F486" s="129">
        <f t="shared" si="39"/>
        <v>0</v>
      </c>
      <c r="G486" s="22">
        <v>6.9488908310159502E-8</v>
      </c>
      <c r="H486" s="21">
        <f t="shared" si="40"/>
        <v>22.2</v>
      </c>
      <c r="I486" s="21">
        <v>22.2</v>
      </c>
      <c r="J486" s="23" t="s">
        <v>24</v>
      </c>
      <c r="K486" s="23" t="s">
        <v>24</v>
      </c>
      <c r="L486" s="22">
        <v>4.4178628125000002E-7</v>
      </c>
      <c r="M486" s="207">
        <f>1/(((B486/10)^B486)*((C486/10)^C486))</f>
        <v>4.4178628124673551E-7</v>
      </c>
      <c r="N486" s="231">
        <f t="shared" si="42"/>
        <v>3.2645179182772769E-18</v>
      </c>
    </row>
    <row r="487" spans="2:14" x14ac:dyDescent="0.45">
      <c r="B487" s="12">
        <v>22</v>
      </c>
      <c r="C487" s="195">
        <v>0</v>
      </c>
      <c r="D487" s="12">
        <v>8</v>
      </c>
      <c r="E487" s="22">
        <f t="shared" si="38"/>
        <v>2.8427280672337964E-8</v>
      </c>
      <c r="F487" s="129">
        <f t="shared" si="39"/>
        <v>3.6395946952333218E-23</v>
      </c>
      <c r="G487" s="22">
        <v>2.8427280672338001E-8</v>
      </c>
      <c r="H487" s="21">
        <f t="shared" si="40"/>
        <v>24.8</v>
      </c>
      <c r="I487" s="21">
        <v>24.8</v>
      </c>
      <c r="J487" s="23" t="s">
        <v>24</v>
      </c>
      <c r="K487" s="23" t="s">
        <v>24</v>
      </c>
      <c r="L487" s="22">
        <v>1.7457462827999999E-7</v>
      </c>
      <c r="M487" s="207">
        <f>1/(((B487/10)^B487)*((D487/10)^D487))</f>
        <v>1.745746282803E-7</v>
      </c>
      <c r="N487" s="231">
        <f t="shared" si="42"/>
        <v>-3.000084820056325E-19</v>
      </c>
    </row>
    <row r="488" spans="2:14" x14ac:dyDescent="0.45">
      <c r="B488" s="12">
        <v>22</v>
      </c>
      <c r="C488" s="111">
        <v>1</v>
      </c>
      <c r="D488" s="12">
        <v>7</v>
      </c>
      <c r="E488" s="22">
        <f t="shared" si="38"/>
        <v>2.2741824537870371E-7</v>
      </c>
      <c r="F488" s="129">
        <f t="shared" si="39"/>
        <v>2.9116757561866574E-22</v>
      </c>
      <c r="G488" s="22">
        <v>2.27418245378704E-7</v>
      </c>
      <c r="H488" s="21">
        <f t="shared" si="40"/>
        <v>23.4</v>
      </c>
      <c r="I488" s="21">
        <v>23.4</v>
      </c>
      <c r="J488" s="23" t="s">
        <v>24</v>
      </c>
      <c r="K488" s="23" t="s">
        <v>24</v>
      </c>
      <c r="L488" s="22">
        <v>3.5564339042099999E-6</v>
      </c>
      <c r="M488" s="134">
        <f t="shared" si="41"/>
        <v>3.5564339042142376E-6</v>
      </c>
      <c r="N488" s="231">
        <f t="shared" si="42"/>
        <v>-4.2377058351132646E-18</v>
      </c>
    </row>
    <row r="489" spans="2:14" x14ac:dyDescent="0.45">
      <c r="B489" s="12">
        <v>22</v>
      </c>
      <c r="C489" s="111">
        <v>2</v>
      </c>
      <c r="D489" s="12">
        <v>6</v>
      </c>
      <c r="E489" s="22">
        <f t="shared" si="38"/>
        <v>7.95963858825463E-7</v>
      </c>
      <c r="F489" s="129">
        <f t="shared" si="39"/>
        <v>0</v>
      </c>
      <c r="G489" s="22">
        <v>7.95963858825463E-7</v>
      </c>
      <c r="H489" s="21">
        <f t="shared" si="40"/>
        <v>22.4</v>
      </c>
      <c r="I489" s="21">
        <v>22.4</v>
      </c>
      <c r="J489" s="23" t="s">
        <v>24</v>
      </c>
      <c r="K489" s="23" t="s">
        <v>24</v>
      </c>
      <c r="L489" s="22">
        <v>1.569399566389E-5</v>
      </c>
      <c r="M489" s="134">
        <f t="shared" si="41"/>
        <v>1.5693995663892659E-5</v>
      </c>
      <c r="N489" s="231">
        <f t="shared" si="42"/>
        <v>-2.6596834543785031E-18</v>
      </c>
    </row>
    <row r="490" spans="2:14" x14ac:dyDescent="0.45">
      <c r="B490" s="12">
        <v>22</v>
      </c>
      <c r="C490" s="111">
        <v>3</v>
      </c>
      <c r="D490" s="12">
        <v>5</v>
      </c>
      <c r="E490" s="22">
        <f t="shared" si="38"/>
        <v>1.591927717650926E-6</v>
      </c>
      <c r="F490" s="129">
        <f t="shared" si="39"/>
        <v>4.0234064994579266E-21</v>
      </c>
      <c r="G490" s="22">
        <v>1.59192771765093E-6</v>
      </c>
      <c r="H490" s="21">
        <f t="shared" si="40"/>
        <v>21.8</v>
      </c>
      <c r="I490" s="21">
        <v>21.8</v>
      </c>
      <c r="J490" s="23" t="s">
        <v>24</v>
      </c>
      <c r="K490" s="23" t="s">
        <v>24</v>
      </c>
      <c r="L490" s="22">
        <v>3.4712607369219998E-5</v>
      </c>
      <c r="M490" s="134">
        <f t="shared" si="41"/>
        <v>3.4712607369224341E-5</v>
      </c>
      <c r="N490" s="231">
        <f t="shared" si="42"/>
        <v>-4.3435849535200521E-18</v>
      </c>
    </row>
    <row r="491" spans="2:14" x14ac:dyDescent="0.45">
      <c r="B491" s="12">
        <v>22</v>
      </c>
      <c r="C491" s="111">
        <v>4</v>
      </c>
      <c r="D491" s="12">
        <v>4</v>
      </c>
      <c r="E491" s="22">
        <f t="shared" si="38"/>
        <v>1.9899096470636572E-6</v>
      </c>
      <c r="F491" s="129">
        <f t="shared" si="39"/>
        <v>0</v>
      </c>
      <c r="G491" s="22">
        <v>1.9899096470636602E-6</v>
      </c>
      <c r="H491" s="21">
        <f t="shared" si="40"/>
        <v>21.6</v>
      </c>
      <c r="I491" s="21">
        <v>21.6</v>
      </c>
      <c r="J491" s="23" t="s">
        <v>24</v>
      </c>
      <c r="K491" s="23" t="s">
        <v>24</v>
      </c>
      <c r="L491" s="22">
        <v>4.4691104839759998E-5</v>
      </c>
      <c r="M491" s="134">
        <f t="shared" si="41"/>
        <v>4.4691104839756793E-5</v>
      </c>
      <c r="N491" s="231">
        <f t="shared" si="42"/>
        <v>3.2051726724102725E-18</v>
      </c>
    </row>
    <row r="492" spans="2:14" x14ac:dyDescent="0.45">
      <c r="B492" s="12">
        <v>22</v>
      </c>
      <c r="C492" s="111">
        <v>5</v>
      </c>
      <c r="D492" s="12">
        <v>3</v>
      </c>
      <c r="E492" s="22">
        <f t="shared" si="38"/>
        <v>1.591927717650926E-6</v>
      </c>
      <c r="F492" s="129">
        <f t="shared" si="39"/>
        <v>4.0234064994579266E-21</v>
      </c>
      <c r="G492" s="22">
        <v>1.59192771765093E-6</v>
      </c>
      <c r="H492" s="21">
        <f t="shared" si="40"/>
        <v>21.8</v>
      </c>
      <c r="I492" s="21">
        <v>21.8</v>
      </c>
      <c r="J492" s="23" t="s">
        <v>24</v>
      </c>
      <c r="K492" s="23" t="s">
        <v>24</v>
      </c>
      <c r="L492" s="22">
        <v>3.4712607369219998E-5</v>
      </c>
      <c r="M492" s="134">
        <f t="shared" si="41"/>
        <v>3.4712607369224341E-5</v>
      </c>
      <c r="N492" s="231">
        <f t="shared" si="42"/>
        <v>-4.3435849535200521E-18</v>
      </c>
    </row>
    <row r="493" spans="2:14" x14ac:dyDescent="0.45">
      <c r="B493" s="12">
        <v>22</v>
      </c>
      <c r="C493" s="111">
        <v>6</v>
      </c>
      <c r="D493" s="12">
        <v>2</v>
      </c>
      <c r="E493" s="22">
        <f t="shared" si="38"/>
        <v>7.95963858825463E-7</v>
      </c>
      <c r="F493" s="129">
        <f t="shared" si="39"/>
        <v>0</v>
      </c>
      <c r="G493" s="22">
        <v>7.95963858825463E-7</v>
      </c>
      <c r="H493" s="21">
        <f t="shared" si="40"/>
        <v>22.4</v>
      </c>
      <c r="I493" s="21">
        <v>22.4</v>
      </c>
      <c r="J493" s="23" t="s">
        <v>24</v>
      </c>
      <c r="K493" s="23" t="s">
        <v>24</v>
      </c>
      <c r="L493" s="22">
        <v>1.569399566389E-5</v>
      </c>
      <c r="M493" s="134">
        <f t="shared" si="41"/>
        <v>1.5693995663892659E-5</v>
      </c>
      <c r="N493" s="231">
        <f t="shared" si="42"/>
        <v>-2.6596834543785031E-18</v>
      </c>
    </row>
    <row r="494" spans="2:14" x14ac:dyDescent="0.45">
      <c r="B494" s="12">
        <v>22</v>
      </c>
      <c r="C494" s="111">
        <v>7</v>
      </c>
      <c r="D494" s="12">
        <v>1</v>
      </c>
      <c r="E494" s="22">
        <f t="shared" si="38"/>
        <v>2.2741824537870371E-7</v>
      </c>
      <c r="F494" s="129">
        <f t="shared" si="39"/>
        <v>2.9116757561866574E-22</v>
      </c>
      <c r="G494" s="22">
        <v>2.27418245378704E-7</v>
      </c>
      <c r="H494" s="21">
        <f t="shared" si="40"/>
        <v>23.4</v>
      </c>
      <c r="I494" s="21">
        <v>23.4</v>
      </c>
      <c r="J494" s="23" t="s">
        <v>24</v>
      </c>
      <c r="K494" s="23" t="s">
        <v>24</v>
      </c>
      <c r="L494" s="22">
        <v>3.5564339042099999E-6</v>
      </c>
      <c r="M494" s="134">
        <f t="shared" si="41"/>
        <v>3.5564339042142368E-6</v>
      </c>
      <c r="N494" s="231">
        <f t="shared" si="42"/>
        <v>-4.2368588021660103E-18</v>
      </c>
    </row>
    <row r="495" spans="2:14" x14ac:dyDescent="0.45">
      <c r="B495" s="12">
        <v>22</v>
      </c>
      <c r="C495" s="111">
        <v>8</v>
      </c>
      <c r="D495" s="195">
        <v>0</v>
      </c>
      <c r="E495" s="22">
        <f t="shared" si="38"/>
        <v>2.8427280672337964E-8</v>
      </c>
      <c r="F495" s="129">
        <f t="shared" si="39"/>
        <v>3.6395946952333218E-23</v>
      </c>
      <c r="G495" s="22">
        <v>2.8427280672338001E-8</v>
      </c>
      <c r="H495" s="21">
        <f t="shared" si="40"/>
        <v>24.8</v>
      </c>
      <c r="I495" s="21">
        <v>24.8</v>
      </c>
      <c r="J495" s="23" t="s">
        <v>24</v>
      </c>
      <c r="K495" s="23" t="s">
        <v>24</v>
      </c>
      <c r="L495" s="22">
        <v>1.7457462827999999E-7</v>
      </c>
      <c r="M495" s="207">
        <f>1/(((B495/10)^B495)*((C495/10)^C495))</f>
        <v>1.745746282803E-7</v>
      </c>
      <c r="N495" s="231">
        <f t="shared" si="42"/>
        <v>-3.000084820056325E-19</v>
      </c>
    </row>
    <row r="496" spans="2:14" x14ac:dyDescent="0.45">
      <c r="B496" s="12">
        <v>23</v>
      </c>
      <c r="C496" s="195">
        <v>0</v>
      </c>
      <c r="D496" s="12">
        <v>7</v>
      </c>
      <c r="E496" s="22">
        <f t="shared" si="38"/>
        <v>9.8877497990740741E-9</v>
      </c>
      <c r="F496" s="129">
        <f t="shared" si="39"/>
        <v>0</v>
      </c>
      <c r="G496" s="22">
        <v>9.8877497990740807E-9</v>
      </c>
      <c r="H496" s="21">
        <f t="shared" si="40"/>
        <v>27.8</v>
      </c>
      <c r="I496" s="21">
        <v>27.8</v>
      </c>
      <c r="J496" s="23" t="s">
        <v>24</v>
      </c>
      <c r="K496" s="23" t="s">
        <v>24</v>
      </c>
      <c r="L496" s="22">
        <v>5.8153183100000002E-8</v>
      </c>
      <c r="M496" s="207">
        <f>1/(((B496/10)^B496)*((D496/10)^D496))</f>
        <v>5.8153183104462032E-8</v>
      </c>
      <c r="N496" s="231">
        <f t="shared" si="42"/>
        <v>-4.4620305997927453E-18</v>
      </c>
    </row>
    <row r="497" spans="2:14" x14ac:dyDescent="0.45">
      <c r="B497" s="12">
        <v>23</v>
      </c>
      <c r="C497" s="111">
        <v>1</v>
      </c>
      <c r="D497" s="12">
        <v>6</v>
      </c>
      <c r="E497" s="22">
        <f t="shared" si="38"/>
        <v>6.9214248593518514E-8</v>
      </c>
      <c r="F497" s="129">
        <f t="shared" si="39"/>
        <v>0</v>
      </c>
      <c r="G497" s="22">
        <v>6.9214248593518501E-8</v>
      </c>
      <c r="H497" s="21">
        <f t="shared" si="40"/>
        <v>26.6</v>
      </c>
      <c r="I497" s="21">
        <v>26.6</v>
      </c>
      <c r="J497" s="23" t="s">
        <v>24</v>
      </c>
      <c r="K497" s="23" t="s">
        <v>24</v>
      </c>
      <c r="L497" s="22">
        <v>1.02648420082E-6</v>
      </c>
      <c r="M497" s="134">
        <f t="shared" si="41"/>
        <v>1.0264842008187144E-6</v>
      </c>
      <c r="N497" s="231">
        <f t="shared" si="42"/>
        <v>1.2855842556952143E-18</v>
      </c>
    </row>
    <row r="498" spans="2:14" x14ac:dyDescent="0.45">
      <c r="B498" s="12">
        <v>23</v>
      </c>
      <c r="C498" s="111">
        <v>2</v>
      </c>
      <c r="D498" s="12">
        <v>5</v>
      </c>
      <c r="E498" s="22">
        <f t="shared" si="38"/>
        <v>2.0764274578055555E-7</v>
      </c>
      <c r="F498" s="129">
        <f t="shared" si="39"/>
        <v>4.4998625322884706E-22</v>
      </c>
      <c r="G498" s="22">
        <v>2.07642745780556E-7</v>
      </c>
      <c r="H498" s="21">
        <f t="shared" si="40"/>
        <v>25.8</v>
      </c>
      <c r="I498" s="21">
        <v>25.8</v>
      </c>
      <c r="J498" s="23" t="s">
        <v>24</v>
      </c>
      <c r="K498" s="23" t="s">
        <v>24</v>
      </c>
      <c r="L498" s="22">
        <v>3.8313317498700002E-6</v>
      </c>
      <c r="M498" s="134">
        <f t="shared" si="41"/>
        <v>3.8313317498718348E-6</v>
      </c>
      <c r="N498" s="231">
        <f t="shared" si="42"/>
        <v>-1.8346733637528145E-18</v>
      </c>
    </row>
    <row r="499" spans="2:14" x14ac:dyDescent="0.45">
      <c r="B499" s="12">
        <v>23</v>
      </c>
      <c r="C499" s="111">
        <v>3</v>
      </c>
      <c r="D499" s="12">
        <v>4</v>
      </c>
      <c r="E499" s="22">
        <f t="shared" si="38"/>
        <v>3.4607124296759261E-7</v>
      </c>
      <c r="F499" s="129">
        <f t="shared" si="39"/>
        <v>0</v>
      </c>
      <c r="G499" s="22">
        <v>3.4607124296759298E-7</v>
      </c>
      <c r="H499" s="21">
        <f t="shared" si="40"/>
        <v>25.4</v>
      </c>
      <c r="I499" s="21">
        <v>25.4</v>
      </c>
      <c r="J499" s="23" t="s">
        <v>24</v>
      </c>
      <c r="K499" s="23" t="s">
        <v>24</v>
      </c>
      <c r="L499" s="22">
        <v>6.9287683555299997E-6</v>
      </c>
      <c r="M499" s="134">
        <f t="shared" si="41"/>
        <v>6.928768355526321E-6</v>
      </c>
      <c r="N499" s="231">
        <f t="shared" si="42"/>
        <v>3.6786640899254264E-18</v>
      </c>
    </row>
    <row r="500" spans="2:14" x14ac:dyDescent="0.45">
      <c r="B500" s="12">
        <v>23</v>
      </c>
      <c r="C500" s="111">
        <v>4</v>
      </c>
      <c r="D500" s="12">
        <v>3</v>
      </c>
      <c r="E500" s="22">
        <f t="shared" si="38"/>
        <v>3.4607124296759261E-7</v>
      </c>
      <c r="F500" s="129">
        <f t="shared" si="39"/>
        <v>0</v>
      </c>
      <c r="G500" s="22">
        <v>3.4607124296759298E-7</v>
      </c>
      <c r="H500" s="21">
        <f t="shared" si="40"/>
        <v>25.4</v>
      </c>
      <c r="I500" s="21">
        <v>25.4</v>
      </c>
      <c r="J500" s="23" t="s">
        <v>24</v>
      </c>
      <c r="K500" s="23" t="s">
        <v>24</v>
      </c>
      <c r="L500" s="22">
        <v>6.9287683555299997E-6</v>
      </c>
      <c r="M500" s="134">
        <f t="shared" si="41"/>
        <v>6.9287683555263193E-6</v>
      </c>
      <c r="N500" s="231">
        <f t="shared" si="42"/>
        <v>3.680358155819935E-18</v>
      </c>
    </row>
    <row r="501" spans="2:14" x14ac:dyDescent="0.45">
      <c r="B501" s="12">
        <v>23</v>
      </c>
      <c r="C501" s="111">
        <v>5</v>
      </c>
      <c r="D501" s="12">
        <v>2</v>
      </c>
      <c r="E501" s="22">
        <f t="shared" si="38"/>
        <v>2.0764274578055555E-7</v>
      </c>
      <c r="F501" s="129">
        <f t="shared" si="39"/>
        <v>4.4998625322884706E-22</v>
      </c>
      <c r="G501" s="22">
        <v>2.07642745780556E-7</v>
      </c>
      <c r="H501" s="21">
        <f t="shared" si="40"/>
        <v>25.8</v>
      </c>
      <c r="I501" s="21">
        <v>25.8</v>
      </c>
      <c r="J501" s="23" t="s">
        <v>24</v>
      </c>
      <c r="K501" s="23" t="s">
        <v>24</v>
      </c>
      <c r="L501" s="22">
        <v>3.8313317498700002E-6</v>
      </c>
      <c r="M501" s="134">
        <f t="shared" si="41"/>
        <v>3.8313317498718348E-6</v>
      </c>
      <c r="N501" s="231">
        <f t="shared" si="42"/>
        <v>-1.8346733637528145E-18</v>
      </c>
    </row>
    <row r="502" spans="2:14" x14ac:dyDescent="0.45">
      <c r="B502" s="12">
        <v>23</v>
      </c>
      <c r="C502" s="111">
        <v>6</v>
      </c>
      <c r="D502" s="12">
        <v>1</v>
      </c>
      <c r="E502" s="22">
        <f t="shared" si="38"/>
        <v>6.9214248593518514E-8</v>
      </c>
      <c r="F502" s="129">
        <f t="shared" si="39"/>
        <v>0</v>
      </c>
      <c r="G502" s="22">
        <v>6.9214248593518501E-8</v>
      </c>
      <c r="H502" s="21">
        <f t="shared" si="40"/>
        <v>26.6</v>
      </c>
      <c r="I502" s="21">
        <v>26.6</v>
      </c>
      <c r="J502" s="23" t="s">
        <v>24</v>
      </c>
      <c r="K502" s="23" t="s">
        <v>24</v>
      </c>
      <c r="L502" s="22">
        <v>1.02648420082E-6</v>
      </c>
      <c r="M502" s="134">
        <f t="shared" si="41"/>
        <v>1.0264842008187144E-6</v>
      </c>
      <c r="N502" s="231">
        <f t="shared" si="42"/>
        <v>1.2855842556952143E-18</v>
      </c>
    </row>
    <row r="503" spans="2:14" x14ac:dyDescent="0.45">
      <c r="B503" s="12">
        <v>23</v>
      </c>
      <c r="C503" s="111">
        <v>7</v>
      </c>
      <c r="D503" s="195">
        <v>0</v>
      </c>
      <c r="E503" s="22">
        <f t="shared" si="38"/>
        <v>9.8877497990740741E-9</v>
      </c>
      <c r="F503" s="129">
        <f t="shared" si="39"/>
        <v>0</v>
      </c>
      <c r="G503" s="22">
        <v>9.8877497990740807E-9</v>
      </c>
      <c r="H503" s="21">
        <f t="shared" si="40"/>
        <v>27.8</v>
      </c>
      <c r="I503" s="21">
        <v>27.8</v>
      </c>
      <c r="J503" s="23" t="s">
        <v>24</v>
      </c>
      <c r="K503" s="23" t="s">
        <v>24</v>
      </c>
      <c r="L503" s="22">
        <v>5.8153183100000002E-8</v>
      </c>
      <c r="M503" s="207">
        <f>1/(((B503/10)^B503)*((C503/10)^C503))</f>
        <v>5.8153183104462032E-8</v>
      </c>
      <c r="N503" s="231">
        <f t="shared" si="42"/>
        <v>-4.4620305997927453E-18</v>
      </c>
    </row>
    <row r="504" spans="2:14" x14ac:dyDescent="0.45">
      <c r="B504" s="12">
        <v>24</v>
      </c>
      <c r="C504" s="195">
        <v>0</v>
      </c>
      <c r="D504" s="12">
        <v>6</v>
      </c>
      <c r="E504" s="22">
        <f t="shared" si="38"/>
        <v>2.8839270247299382E-9</v>
      </c>
      <c r="F504" s="129">
        <f t="shared" si="39"/>
        <v>0</v>
      </c>
      <c r="G504" s="22">
        <v>2.8839270247299399E-9</v>
      </c>
      <c r="H504" s="21">
        <f t="shared" si="40"/>
        <v>31.2</v>
      </c>
      <c r="I504" s="21">
        <v>31.2</v>
      </c>
      <c r="J504" s="23" t="s">
        <v>24</v>
      </c>
      <c r="K504" s="23" t="s">
        <v>24</v>
      </c>
      <c r="L504" s="22">
        <v>1.6070252350000001E-8</v>
      </c>
      <c r="M504" s="207">
        <f>1/(((B504/10)^B504)*((D504/10)^D504))</f>
        <v>1.6070252354001722E-8</v>
      </c>
      <c r="N504" s="231">
        <f t="shared" si="42"/>
        <v>-4.0017211325192364E-18</v>
      </c>
    </row>
    <row r="505" spans="2:14" x14ac:dyDescent="0.45">
      <c r="B505" s="12">
        <v>24</v>
      </c>
      <c r="C505" s="111">
        <v>1</v>
      </c>
      <c r="D505" s="12">
        <v>5</v>
      </c>
      <c r="E505" s="22">
        <f t="shared" si="38"/>
        <v>1.7303562148379628E-8</v>
      </c>
      <c r="F505" s="129">
        <f t="shared" si="39"/>
        <v>-2.9778502051908996E-23</v>
      </c>
      <c r="G505" s="22">
        <v>1.7303562148379599E-8</v>
      </c>
      <c r="H505" s="21">
        <f t="shared" si="40"/>
        <v>30.2</v>
      </c>
      <c r="I505" s="21">
        <v>30.2</v>
      </c>
      <c r="J505" s="23" t="s">
        <v>24</v>
      </c>
      <c r="K505" s="23" t="s">
        <v>24</v>
      </c>
      <c r="L505" s="22">
        <v>2.3992758203000002E-7</v>
      </c>
      <c r="M505" s="134">
        <f t="shared" si="41"/>
        <v>2.3992758202505737E-7</v>
      </c>
      <c r="N505" s="231">
        <f t="shared" si="42"/>
        <v>4.9426490054656561E-18</v>
      </c>
    </row>
    <row r="506" spans="2:14" x14ac:dyDescent="0.45">
      <c r="B506" s="12">
        <v>24</v>
      </c>
      <c r="C506" s="111">
        <v>2</v>
      </c>
      <c r="D506" s="12">
        <v>4</v>
      </c>
      <c r="E506" s="22">
        <f t="shared" si="38"/>
        <v>4.3258905370949076E-8</v>
      </c>
      <c r="F506" s="129">
        <f t="shared" si="39"/>
        <v>0</v>
      </c>
      <c r="G506" s="22">
        <v>4.3258905370949103E-8</v>
      </c>
      <c r="H506" s="21">
        <f t="shared" si="40"/>
        <v>29.6</v>
      </c>
      <c r="I506" s="21">
        <v>29.6</v>
      </c>
      <c r="J506" s="23" t="s">
        <v>24</v>
      </c>
      <c r="K506" s="23" t="s">
        <v>24</v>
      </c>
      <c r="L506" s="22">
        <v>7.3220087288000004E-7</v>
      </c>
      <c r="M506" s="134">
        <f t="shared" si="41"/>
        <v>7.3220087287920299E-7</v>
      </c>
      <c r="N506" s="231">
        <f t="shared" si="42"/>
        <v>7.9705800336629662E-19</v>
      </c>
    </row>
    <row r="507" spans="2:14" x14ac:dyDescent="0.45">
      <c r="B507" s="12">
        <v>24</v>
      </c>
      <c r="C507" s="111">
        <v>3</v>
      </c>
      <c r="D507" s="12">
        <v>3</v>
      </c>
      <c r="E507" s="22">
        <f t="shared" si="38"/>
        <v>5.7678540494598773E-8</v>
      </c>
      <c r="F507" s="129">
        <f t="shared" si="39"/>
        <v>0</v>
      </c>
      <c r="G507" s="22">
        <v>5.7678540494598799E-8</v>
      </c>
      <c r="H507" s="21">
        <f t="shared" si="40"/>
        <v>29.4</v>
      </c>
      <c r="I507" s="21">
        <v>29.4</v>
      </c>
      <c r="J507" s="23" t="s">
        <v>24</v>
      </c>
      <c r="K507" s="23" t="s">
        <v>24</v>
      </c>
      <c r="L507" s="22">
        <v>1.02849615066E-6</v>
      </c>
      <c r="M507" s="134">
        <f t="shared" si="41"/>
        <v>1.0284961506561102E-6</v>
      </c>
      <c r="N507" s="231">
        <f t="shared" si="42"/>
        <v>3.8897870520285607E-18</v>
      </c>
    </row>
    <row r="508" spans="2:14" x14ac:dyDescent="0.45">
      <c r="B508" s="12">
        <v>24</v>
      </c>
      <c r="C508" s="111">
        <v>4</v>
      </c>
      <c r="D508" s="12">
        <v>2</v>
      </c>
      <c r="E508" s="22">
        <f t="shared" si="38"/>
        <v>4.3258905370949076E-8</v>
      </c>
      <c r="F508" s="129">
        <f t="shared" si="39"/>
        <v>0</v>
      </c>
      <c r="G508" s="22">
        <v>4.3258905370949103E-8</v>
      </c>
      <c r="H508" s="21">
        <f t="shared" si="40"/>
        <v>29.6</v>
      </c>
      <c r="I508" s="21">
        <v>29.6</v>
      </c>
      <c r="J508" s="23" t="s">
        <v>24</v>
      </c>
      <c r="K508" s="23" t="s">
        <v>24</v>
      </c>
      <c r="L508" s="22">
        <v>7.3220087288000004E-7</v>
      </c>
      <c r="M508" s="134">
        <f t="shared" si="41"/>
        <v>7.3220087287920299E-7</v>
      </c>
      <c r="N508" s="231">
        <f t="shared" si="42"/>
        <v>7.9705800336629662E-19</v>
      </c>
    </row>
    <row r="509" spans="2:14" x14ac:dyDescent="0.45">
      <c r="B509" s="12">
        <v>24</v>
      </c>
      <c r="C509" s="111">
        <v>5</v>
      </c>
      <c r="D509" s="12">
        <v>1</v>
      </c>
      <c r="E509" s="22">
        <f t="shared" si="38"/>
        <v>1.7303562148379628E-8</v>
      </c>
      <c r="F509" s="129">
        <f t="shared" si="39"/>
        <v>-2.9778502051908996E-23</v>
      </c>
      <c r="G509" s="22">
        <v>1.7303562148379599E-8</v>
      </c>
      <c r="H509" s="21">
        <f t="shared" si="40"/>
        <v>30.2</v>
      </c>
      <c r="I509" s="21">
        <v>30.2</v>
      </c>
      <c r="J509" s="23" t="s">
        <v>24</v>
      </c>
      <c r="K509" s="23" t="s">
        <v>24</v>
      </c>
      <c r="L509" s="22">
        <v>2.3992758203000002E-7</v>
      </c>
      <c r="M509" s="134">
        <f t="shared" si="41"/>
        <v>2.3992758202505737E-7</v>
      </c>
      <c r="N509" s="231">
        <f t="shared" si="42"/>
        <v>4.9426490054656561E-18</v>
      </c>
    </row>
    <row r="510" spans="2:14" x14ac:dyDescent="0.45">
      <c r="B510" s="12">
        <v>24</v>
      </c>
      <c r="C510" s="111">
        <v>6</v>
      </c>
      <c r="D510" s="195">
        <v>0</v>
      </c>
      <c r="E510" s="22">
        <f t="shared" si="38"/>
        <v>2.8839270247299382E-9</v>
      </c>
      <c r="F510" s="129">
        <f t="shared" si="39"/>
        <v>0</v>
      </c>
      <c r="G510" s="22">
        <v>2.8839270247299399E-9</v>
      </c>
      <c r="H510" s="21">
        <f t="shared" si="40"/>
        <v>31.2</v>
      </c>
      <c r="I510" s="21">
        <v>31.2</v>
      </c>
      <c r="J510" s="23" t="s">
        <v>24</v>
      </c>
      <c r="K510" s="23" t="s">
        <v>24</v>
      </c>
      <c r="L510" s="22">
        <v>1.6070252350000001E-8</v>
      </c>
      <c r="M510" s="207">
        <f>1/(((B510/10)^B510)*((C510/10)^C510))</f>
        <v>1.6070252354001722E-8</v>
      </c>
      <c r="N510" s="231">
        <f t="shared" si="42"/>
        <v>-4.0017211325192364E-18</v>
      </c>
    </row>
    <row r="511" spans="2:14" x14ac:dyDescent="0.45">
      <c r="B511" s="12">
        <v>25</v>
      </c>
      <c r="C511" s="229">
        <v>0</v>
      </c>
      <c r="D511" s="12">
        <v>5</v>
      </c>
      <c r="E511" s="22">
        <f t="shared" si="38"/>
        <v>6.9214248593518523E-10</v>
      </c>
      <c r="F511" s="129">
        <f t="shared" si="39"/>
        <v>0</v>
      </c>
      <c r="G511" s="22">
        <v>6.9214248593518502E-10</v>
      </c>
      <c r="H511" s="21">
        <f t="shared" si="40"/>
        <v>35</v>
      </c>
      <c r="I511" s="21">
        <v>35</v>
      </c>
      <c r="J511" s="23" t="s">
        <v>24</v>
      </c>
      <c r="K511" s="23" t="s">
        <v>24</v>
      </c>
      <c r="L511" s="22">
        <v>3.6028797000000002E-9</v>
      </c>
      <c r="M511" s="207">
        <f>1/(((B511/10)^B511)*((D511/10)^D511))</f>
        <v>3.6028797018963965E-9</v>
      </c>
      <c r="N511" s="231">
        <f t="shared" si="42"/>
        <v>-1.8963963402906026E-18</v>
      </c>
    </row>
    <row r="512" spans="2:14" x14ac:dyDescent="0.45">
      <c r="B512" s="12">
        <v>25</v>
      </c>
      <c r="C512" s="111">
        <v>1</v>
      </c>
      <c r="D512" s="12">
        <v>4</v>
      </c>
      <c r="E512" s="22">
        <f t="shared" si="38"/>
        <v>3.4607124296759264E-9</v>
      </c>
      <c r="F512" s="129">
        <f t="shared" si="39"/>
        <v>3.7223127564886245E-24</v>
      </c>
      <c r="G512" s="22">
        <v>3.4607124296759301E-9</v>
      </c>
      <c r="H512" s="21">
        <f t="shared" si="40"/>
        <v>34.200000000000003</v>
      </c>
      <c r="I512" s="21">
        <v>34.200000000000003</v>
      </c>
      <c r="J512" s="23" t="s">
        <v>24</v>
      </c>
      <c r="K512" s="23" t="s">
        <v>24</v>
      </c>
      <c r="L512" s="22">
        <v>4.398046511E-8</v>
      </c>
      <c r="M512" s="134">
        <f t="shared" si="41"/>
        <v>4.3980465111039978E-8</v>
      </c>
      <c r="N512" s="231">
        <f t="shared" si="42"/>
        <v>-1.0399777882159694E-18</v>
      </c>
    </row>
    <row r="513" spans="2:14" x14ac:dyDescent="0.45">
      <c r="B513" s="12">
        <v>25</v>
      </c>
      <c r="C513" s="111">
        <v>2</v>
      </c>
      <c r="D513" s="12">
        <v>3</v>
      </c>
      <c r="E513" s="22">
        <f t="shared" si="38"/>
        <v>6.9214248593518527E-9</v>
      </c>
      <c r="F513" s="129">
        <f t="shared" si="39"/>
        <v>0</v>
      </c>
      <c r="G513" s="22">
        <v>6.9214248593518502E-9</v>
      </c>
      <c r="H513" s="21">
        <f t="shared" si="40"/>
        <v>33.799999999999997</v>
      </c>
      <c r="I513" s="21">
        <v>33.799999999999997</v>
      </c>
      <c r="J513" s="23" t="s">
        <v>24</v>
      </c>
      <c r="K513" s="23" t="s">
        <v>24</v>
      </c>
      <c r="L513" s="22">
        <v>1.0424999137E-7</v>
      </c>
      <c r="M513" s="134">
        <f t="shared" si="41"/>
        <v>1.0424999137431702E-7</v>
      </c>
      <c r="N513" s="231">
        <f t="shared" si="42"/>
        <v>-4.3170225296897493E-18</v>
      </c>
    </row>
    <row r="514" spans="2:14" x14ac:dyDescent="0.45">
      <c r="B514" s="12">
        <v>25</v>
      </c>
      <c r="C514" s="111">
        <v>3</v>
      </c>
      <c r="D514" s="12">
        <v>2</v>
      </c>
      <c r="E514" s="22">
        <f t="shared" si="38"/>
        <v>6.9214248593518527E-9</v>
      </c>
      <c r="F514" s="129">
        <f t="shared" si="39"/>
        <v>0</v>
      </c>
      <c r="G514" s="22">
        <v>6.9214248593518502E-9</v>
      </c>
      <c r="H514" s="21">
        <f t="shared" si="40"/>
        <v>33.799999999999997</v>
      </c>
      <c r="I514" s="21">
        <v>33.799999999999997</v>
      </c>
      <c r="J514" s="23" t="s">
        <v>24</v>
      </c>
      <c r="K514" s="23" t="s">
        <v>24</v>
      </c>
      <c r="L514" s="22">
        <v>1.0424999137E-7</v>
      </c>
      <c r="M514" s="134">
        <f t="shared" si="41"/>
        <v>1.0424999137431702E-7</v>
      </c>
      <c r="N514" s="231">
        <f t="shared" si="42"/>
        <v>-4.3170225296897493E-18</v>
      </c>
    </row>
    <row r="515" spans="2:14" x14ac:dyDescent="0.45">
      <c r="B515" s="12">
        <v>25</v>
      </c>
      <c r="C515" s="111">
        <v>4</v>
      </c>
      <c r="D515" s="12">
        <v>1</v>
      </c>
      <c r="E515" s="22">
        <f t="shared" si="38"/>
        <v>3.4607124296759264E-9</v>
      </c>
      <c r="F515" s="129">
        <f t="shared" si="39"/>
        <v>3.7223127564886245E-24</v>
      </c>
      <c r="G515" s="22">
        <v>3.4607124296759301E-9</v>
      </c>
      <c r="H515" s="21">
        <f t="shared" si="40"/>
        <v>34.200000000000003</v>
      </c>
      <c r="I515" s="21">
        <v>34.200000000000003</v>
      </c>
      <c r="J515" s="23" t="s">
        <v>24</v>
      </c>
      <c r="K515" s="23" t="s">
        <v>24</v>
      </c>
      <c r="L515" s="22">
        <v>4.398046511E-8</v>
      </c>
      <c r="M515" s="134">
        <f t="shared" si="41"/>
        <v>4.3980465111039971E-8</v>
      </c>
      <c r="N515" s="231">
        <f t="shared" si="42"/>
        <v>-1.0399711707710689E-18</v>
      </c>
    </row>
    <row r="516" spans="2:14" x14ac:dyDescent="0.45">
      <c r="B516" s="12">
        <v>25</v>
      </c>
      <c r="C516" s="111">
        <v>5</v>
      </c>
      <c r="D516" s="195">
        <v>0</v>
      </c>
      <c r="E516" s="22">
        <f t="shared" si="38"/>
        <v>6.9214248593518523E-10</v>
      </c>
      <c r="F516" s="129">
        <f t="shared" si="39"/>
        <v>0</v>
      </c>
      <c r="G516" s="22">
        <v>6.9214248593518502E-10</v>
      </c>
      <c r="H516" s="21">
        <f t="shared" si="40"/>
        <v>35</v>
      </c>
      <c r="I516" s="21">
        <v>35</v>
      </c>
      <c r="J516" s="23" t="s">
        <v>24</v>
      </c>
      <c r="K516" s="23" t="s">
        <v>24</v>
      </c>
      <c r="L516" s="22">
        <v>3.6028797000000002E-9</v>
      </c>
      <c r="M516" s="207">
        <f>1/(((B516/10)^B516)*((C516/10)^C516))</f>
        <v>3.6028797018963965E-9</v>
      </c>
      <c r="N516" s="231">
        <f t="shared" si="42"/>
        <v>-1.8963963402906026E-18</v>
      </c>
    </row>
    <row r="517" spans="2:14" x14ac:dyDescent="0.45">
      <c r="B517" s="12">
        <v>26</v>
      </c>
      <c r="C517" s="195">
        <v>0</v>
      </c>
      <c r="D517" s="12">
        <v>4</v>
      </c>
      <c r="E517" s="22">
        <f t="shared" si="38"/>
        <v>1.331043242183048E-10</v>
      </c>
      <c r="F517" s="129">
        <f t="shared" si="39"/>
        <v>2.0679515313825692E-25</v>
      </c>
      <c r="G517" s="22">
        <v>1.3310432421830501E-10</v>
      </c>
      <c r="H517" s="21">
        <f t="shared" si="40"/>
        <v>39.200000000000003</v>
      </c>
      <c r="I517" s="21">
        <v>39.200000000000003</v>
      </c>
      <c r="J517" s="23" t="s">
        <v>24</v>
      </c>
      <c r="K517" s="23" t="s">
        <v>24</v>
      </c>
      <c r="L517" s="22">
        <v>6.3453120999999999E-10</v>
      </c>
      <c r="M517" s="207">
        <f>1/(((B517/10)^B517)*((D517/10)^D517))</f>
        <v>6.3453120900366684E-10</v>
      </c>
      <c r="N517" s="231">
        <f t="shared" si="42"/>
        <v>9.9633315415825739E-19</v>
      </c>
    </row>
    <row r="518" spans="2:14" x14ac:dyDescent="0.45">
      <c r="B518" s="12">
        <v>26</v>
      </c>
      <c r="C518" s="111">
        <v>1</v>
      </c>
      <c r="D518" s="12">
        <v>3</v>
      </c>
      <c r="E518" s="22">
        <f t="shared" si="38"/>
        <v>5.3241729687321921E-10</v>
      </c>
      <c r="F518" s="129">
        <f t="shared" si="39"/>
        <v>8.2718061255302767E-25</v>
      </c>
      <c r="G518" s="22">
        <v>5.3241729687322004E-10</v>
      </c>
      <c r="H518" s="21">
        <f t="shared" si="40"/>
        <v>38.6</v>
      </c>
      <c r="I518" s="21">
        <v>38.6</v>
      </c>
      <c r="J518" s="23" t="s">
        <v>24</v>
      </c>
      <c r="K518" s="23" t="s">
        <v>24</v>
      </c>
      <c r="L518" s="22">
        <v>6.0162959099999998E-9</v>
      </c>
      <c r="M518" s="134">
        <f t="shared" si="41"/>
        <v>6.0162959075903259E-9</v>
      </c>
      <c r="N518" s="231">
        <f t="shared" si="42"/>
        <v>2.4096739044986383E-18</v>
      </c>
    </row>
    <row r="519" spans="2:14" x14ac:dyDescent="0.45">
      <c r="B519" s="12">
        <v>26</v>
      </c>
      <c r="C519" s="111">
        <v>2</v>
      </c>
      <c r="D519" s="12">
        <v>2</v>
      </c>
      <c r="E519" s="22">
        <f t="shared" si="38"/>
        <v>7.9862594530982886E-10</v>
      </c>
      <c r="F519" s="129">
        <f t="shared" si="39"/>
        <v>0</v>
      </c>
      <c r="G519" s="22">
        <v>7.9862594530982897E-10</v>
      </c>
      <c r="H519" s="21">
        <f t="shared" si="40"/>
        <v>38.4</v>
      </c>
      <c r="I519" s="21">
        <v>38.4</v>
      </c>
      <c r="J519" s="23" t="s">
        <v>24</v>
      </c>
      <c r="K519" s="23" t="s">
        <v>24</v>
      </c>
      <c r="L519" s="22">
        <v>1.015249934E-8</v>
      </c>
      <c r="M519" s="134">
        <f t="shared" si="41"/>
        <v>1.0152499344058671E-8</v>
      </c>
      <c r="N519" s="231">
        <f t="shared" si="42"/>
        <v>-4.0586708633322873E-18</v>
      </c>
    </row>
    <row r="520" spans="2:14" x14ac:dyDescent="0.45">
      <c r="B520" s="12">
        <v>26</v>
      </c>
      <c r="C520" s="111">
        <v>3</v>
      </c>
      <c r="D520" s="12">
        <v>1</v>
      </c>
      <c r="E520" s="22">
        <f t="shared" si="38"/>
        <v>5.3241729687321921E-10</v>
      </c>
      <c r="F520" s="129">
        <f t="shared" si="39"/>
        <v>8.2718061255302767E-25</v>
      </c>
      <c r="G520" s="22">
        <v>5.3241729687322004E-10</v>
      </c>
      <c r="H520" s="21">
        <f t="shared" si="40"/>
        <v>38.6</v>
      </c>
      <c r="I520" s="21">
        <v>38.6</v>
      </c>
      <c r="J520" s="23" t="s">
        <v>24</v>
      </c>
      <c r="K520" s="23" t="s">
        <v>24</v>
      </c>
      <c r="L520" s="22">
        <v>6.0162959099999998E-9</v>
      </c>
      <c r="M520" s="134">
        <f t="shared" si="41"/>
        <v>6.0162959075903259E-9</v>
      </c>
      <c r="N520" s="231">
        <f t="shared" si="42"/>
        <v>2.4096739044986383E-18</v>
      </c>
    </row>
    <row r="521" spans="2:14" x14ac:dyDescent="0.45">
      <c r="B521" s="12">
        <v>26</v>
      </c>
      <c r="C521" s="111">
        <v>4</v>
      </c>
      <c r="D521" s="229">
        <v>0</v>
      </c>
      <c r="E521" s="22">
        <f t="shared" si="38"/>
        <v>1.331043242183048E-10</v>
      </c>
      <c r="F521" s="129">
        <f t="shared" si="39"/>
        <v>2.0679515313825692E-25</v>
      </c>
      <c r="G521" s="22">
        <v>1.3310432421830501E-10</v>
      </c>
      <c r="H521" s="21">
        <f t="shared" si="40"/>
        <v>39.200000000000003</v>
      </c>
      <c r="I521" s="21">
        <v>39.200000000000003</v>
      </c>
      <c r="J521" s="23" t="s">
        <v>24</v>
      </c>
      <c r="K521" s="23" t="s">
        <v>24</v>
      </c>
      <c r="L521" s="22">
        <v>6.3453120999999999E-10</v>
      </c>
      <c r="M521" s="207">
        <f>1/(((B521/10)^B521)*((C521/10)^C521))</f>
        <v>6.3453120900366684E-10</v>
      </c>
      <c r="N521" s="231">
        <f t="shared" si="42"/>
        <v>9.9633315415825739E-19</v>
      </c>
    </row>
    <row r="522" spans="2:14" x14ac:dyDescent="0.45">
      <c r="B522" s="12">
        <v>27</v>
      </c>
      <c r="C522" s="229">
        <v>0</v>
      </c>
      <c r="D522" s="12">
        <v>3</v>
      </c>
      <c r="E522" s="22">
        <f t="shared" si="38"/>
        <v>1.971915914345257E-11</v>
      </c>
      <c r="F522" s="129">
        <f t="shared" si="39"/>
        <v>2.9080568410067379E-26</v>
      </c>
      <c r="G522" s="22">
        <v>1.9719159143452599E-11</v>
      </c>
      <c r="H522" s="21">
        <f t="shared" si="40"/>
        <v>43.8</v>
      </c>
      <c r="I522" s="21">
        <v>43.8</v>
      </c>
      <c r="J522" s="23" t="s">
        <v>24</v>
      </c>
      <c r="K522" s="23" t="s">
        <v>24</v>
      </c>
      <c r="L522" s="22">
        <v>8.3524640000000003E-11</v>
      </c>
      <c r="M522" s="207">
        <f>1/(((B522/10)^B522)*((D522/10)^D522))</f>
        <v>8.352463828623908E-11</v>
      </c>
      <c r="N522" s="231">
        <f t="shared" si="42"/>
        <v>1.7137609227218205E-18</v>
      </c>
    </row>
    <row r="523" spans="2:14" x14ac:dyDescent="0.45">
      <c r="B523" s="12">
        <v>27</v>
      </c>
      <c r="C523" s="111">
        <v>1</v>
      </c>
      <c r="D523" s="12">
        <v>2</v>
      </c>
      <c r="E523" s="22">
        <f t="shared" si="38"/>
        <v>5.9157477430357713E-11</v>
      </c>
      <c r="F523" s="129">
        <f t="shared" si="39"/>
        <v>0</v>
      </c>
      <c r="G523" s="22">
        <v>5.91574774303577E-11</v>
      </c>
      <c r="H523" s="21">
        <f t="shared" si="40"/>
        <v>43.4</v>
      </c>
      <c r="I523" s="21">
        <v>43.4</v>
      </c>
      <c r="J523" s="23" t="s">
        <v>24</v>
      </c>
      <c r="K523" s="23" t="s">
        <v>24</v>
      </c>
      <c r="L523" s="22">
        <v>5.6379131000000002E-10</v>
      </c>
      <c r="M523" s="134">
        <f t="shared" si="41"/>
        <v>5.637913084321136E-10</v>
      </c>
      <c r="N523" s="231">
        <f t="shared" si="42"/>
        <v>1.5678864197012664E-18</v>
      </c>
    </row>
    <row r="524" spans="2:14" x14ac:dyDescent="0.45">
      <c r="B524" s="12">
        <v>27</v>
      </c>
      <c r="C524" s="111">
        <v>2</v>
      </c>
      <c r="D524" s="12">
        <v>1</v>
      </c>
      <c r="E524" s="22">
        <f t="shared" si="38"/>
        <v>5.9157477430357713E-11</v>
      </c>
      <c r="F524" s="129">
        <f t="shared" si="39"/>
        <v>0</v>
      </c>
      <c r="G524" s="22">
        <v>5.91574774303577E-11</v>
      </c>
      <c r="H524" s="21">
        <f t="shared" si="40"/>
        <v>43.4</v>
      </c>
      <c r="I524" s="21">
        <v>43.4</v>
      </c>
      <c r="J524" s="23" t="s">
        <v>24</v>
      </c>
      <c r="K524" s="23" t="s">
        <v>24</v>
      </c>
      <c r="L524" s="22">
        <v>5.6379131000000002E-10</v>
      </c>
      <c r="M524" s="134">
        <f t="shared" si="41"/>
        <v>5.637913084321137E-10</v>
      </c>
      <c r="N524" s="231">
        <f t="shared" si="42"/>
        <v>1.5678863163036899E-18</v>
      </c>
    </row>
    <row r="525" spans="2:14" x14ac:dyDescent="0.45">
      <c r="B525" s="12">
        <v>27</v>
      </c>
      <c r="C525" s="111">
        <v>3</v>
      </c>
      <c r="D525" s="195">
        <v>0</v>
      </c>
      <c r="E525" s="22">
        <f t="shared" si="38"/>
        <v>1.971915914345257E-11</v>
      </c>
      <c r="F525" s="129">
        <f t="shared" si="39"/>
        <v>2.9080568410067379E-26</v>
      </c>
      <c r="G525" s="22">
        <v>1.9719159143452599E-11</v>
      </c>
      <c r="H525" s="21">
        <f t="shared" si="40"/>
        <v>43.8</v>
      </c>
      <c r="I525" s="21">
        <v>43.8</v>
      </c>
      <c r="J525" s="23" t="s">
        <v>24</v>
      </c>
      <c r="K525" s="23" t="s">
        <v>24</v>
      </c>
      <c r="L525" s="22">
        <v>8.3524640000000003E-11</v>
      </c>
      <c r="M525" s="207">
        <f>1/(((B525/10)^B525)*((C525/10)^C525))</f>
        <v>8.352463828623908E-11</v>
      </c>
      <c r="N525" s="231">
        <f t="shared" si="42"/>
        <v>1.7137609227218205E-18</v>
      </c>
    </row>
    <row r="526" spans="2:14" x14ac:dyDescent="0.45">
      <c r="B526" s="12">
        <v>28</v>
      </c>
      <c r="C526" s="195">
        <v>0</v>
      </c>
      <c r="D526" s="12">
        <v>2</v>
      </c>
      <c r="E526" s="22">
        <f t="shared" si="38"/>
        <v>2.1127670510842044E-12</v>
      </c>
      <c r="F526" s="129">
        <f t="shared" si="39"/>
        <v>-4.4428646182047385E-27</v>
      </c>
      <c r="G526" s="22">
        <v>2.1127670510841999E-12</v>
      </c>
      <c r="H526" s="21">
        <f t="shared" si="40"/>
        <v>48.8</v>
      </c>
      <c r="I526" s="21">
        <v>48.8</v>
      </c>
      <c r="J526" s="23" t="s">
        <v>24</v>
      </c>
      <c r="K526" s="23" t="s">
        <v>24</v>
      </c>
      <c r="L526" s="22">
        <v>7.5424999999999994E-12</v>
      </c>
      <c r="M526" s="207">
        <f>1/(((B526/10)^B526)*((D526/10)^D526))</f>
        <v>7.542496739176126E-12</v>
      </c>
      <c r="N526" s="231">
        <f t="shared" si="42"/>
        <v>3.26082387344887E-18</v>
      </c>
    </row>
    <row r="527" spans="2:14" x14ac:dyDescent="0.45">
      <c r="B527" s="12">
        <v>28</v>
      </c>
      <c r="C527" s="111">
        <v>1</v>
      </c>
      <c r="D527" s="12">
        <v>1</v>
      </c>
      <c r="E527" s="22">
        <f t="shared" si="38"/>
        <v>4.2255341021684088E-12</v>
      </c>
      <c r="F527" s="129">
        <f t="shared" si="39"/>
        <v>0</v>
      </c>
      <c r="G527" s="22">
        <v>4.2255341021684104E-12</v>
      </c>
      <c r="H527" s="21">
        <f t="shared" si="40"/>
        <v>48.6</v>
      </c>
      <c r="I527" s="21">
        <v>48.6</v>
      </c>
      <c r="J527" s="23" t="s">
        <v>24</v>
      </c>
      <c r="K527" s="23" t="s">
        <v>24</v>
      </c>
      <c r="L527" s="22">
        <v>3.0169989999999998E-11</v>
      </c>
      <c r="M527" s="134">
        <f t="shared" si="41"/>
        <v>3.0169986956704504E-11</v>
      </c>
      <c r="N527" s="231">
        <f t="shared" si="42"/>
        <v>3.0432954944851763E-18</v>
      </c>
    </row>
    <row r="528" spans="2:14" x14ac:dyDescent="0.45">
      <c r="B528" s="12">
        <v>28</v>
      </c>
      <c r="C528" s="111">
        <v>2</v>
      </c>
      <c r="D528" s="195">
        <v>0</v>
      </c>
      <c r="E528" s="22">
        <f t="shared" si="38"/>
        <v>2.1127670510842044E-12</v>
      </c>
      <c r="F528" s="129">
        <f t="shared" si="39"/>
        <v>-4.4428646182047385E-27</v>
      </c>
      <c r="G528" s="22">
        <v>2.1127670510841999E-12</v>
      </c>
      <c r="H528" s="21">
        <f t="shared" si="40"/>
        <v>48.8</v>
      </c>
      <c r="I528" s="21">
        <v>48.8</v>
      </c>
      <c r="J528" s="23" t="s">
        <v>24</v>
      </c>
      <c r="K528" s="23" t="s">
        <v>24</v>
      </c>
      <c r="L528" s="22">
        <v>7.5424999999999994E-12</v>
      </c>
      <c r="M528" s="207">
        <f>1/(((B528/10)^B528)*((C528/10)^C528))</f>
        <v>7.542496739176126E-12</v>
      </c>
      <c r="N528" s="231">
        <f t="shared" si="42"/>
        <v>3.26082387344887E-18</v>
      </c>
    </row>
    <row r="529" spans="1:14" x14ac:dyDescent="0.45">
      <c r="B529" s="12">
        <v>29</v>
      </c>
      <c r="C529" s="229">
        <v>0</v>
      </c>
      <c r="D529" s="12">
        <v>1</v>
      </c>
      <c r="E529" s="22">
        <f t="shared" si="38"/>
        <v>1.457080724885658E-13</v>
      </c>
      <c r="F529" s="129">
        <f t="shared" si="39"/>
        <v>2.0194839173657902E-28</v>
      </c>
      <c r="G529" s="22">
        <v>1.4570807248856601E-13</v>
      </c>
      <c r="H529" s="21">
        <f t="shared" si="40"/>
        <v>54.2</v>
      </c>
      <c r="I529" s="21">
        <v>54.2</v>
      </c>
      <c r="J529" s="23" t="s">
        <v>24</v>
      </c>
      <c r="K529" s="23" t="s">
        <v>24</v>
      </c>
      <c r="L529" s="22">
        <v>3.8945999999999999E-13</v>
      </c>
      <c r="M529" s="207">
        <f>1/(((B529/10)^B529)*((D529/10)^D529))</f>
        <v>3.8945569682215584E-13</v>
      </c>
      <c r="N529" s="231">
        <f t="shared" si="42"/>
        <v>4.3031778441487649E-18</v>
      </c>
    </row>
    <row r="530" spans="1:14" x14ac:dyDescent="0.45">
      <c r="B530" s="12">
        <v>29</v>
      </c>
      <c r="C530" s="111">
        <v>1</v>
      </c>
      <c r="D530" s="195">
        <v>0</v>
      </c>
      <c r="E530" s="22">
        <f t="shared" si="38"/>
        <v>1.457080724885658E-13</v>
      </c>
      <c r="F530" s="129">
        <f t="shared" si="39"/>
        <v>2.0194839173657902E-28</v>
      </c>
      <c r="G530" s="22">
        <v>1.4570807248856601E-13</v>
      </c>
      <c r="H530" s="21">
        <f t="shared" si="40"/>
        <v>54.2</v>
      </c>
      <c r="I530" s="21">
        <v>54.2</v>
      </c>
      <c r="J530" s="23" t="s">
        <v>24</v>
      </c>
      <c r="K530" s="23" t="s">
        <v>24</v>
      </c>
      <c r="L530" s="22">
        <v>3.8945999999999999E-13</v>
      </c>
      <c r="M530" s="207">
        <f>1/(((B530/10)^B530))</f>
        <v>3.8945569682215585E-14</v>
      </c>
      <c r="N530" s="231">
        <f t="shared" si="42"/>
        <v>3.5051443031778438E-13</v>
      </c>
    </row>
    <row r="531" spans="1:14" x14ac:dyDescent="0.45">
      <c r="B531" s="12">
        <v>30</v>
      </c>
      <c r="C531" s="195">
        <v>0</v>
      </c>
      <c r="D531" s="195">
        <v>0</v>
      </c>
      <c r="E531" s="22">
        <f t="shared" si="38"/>
        <v>4.8569357496188583E-15</v>
      </c>
      <c r="F531" s="129">
        <f t="shared" si="39"/>
        <v>0</v>
      </c>
      <c r="G531" s="22">
        <v>4.8569357496188599E-15</v>
      </c>
      <c r="H531" s="21">
        <f t="shared" si="40"/>
        <v>60</v>
      </c>
      <c r="I531" s="21">
        <v>60</v>
      </c>
      <c r="J531" s="23" t="s">
        <v>24</v>
      </c>
      <c r="K531" s="23" t="s">
        <v>24</v>
      </c>
      <c r="L531" s="22">
        <v>4.8600000000000001E-15</v>
      </c>
      <c r="M531" s="207">
        <f>1/(((B531/10)^B531))</f>
        <v>4.8569357496188614E-15</v>
      </c>
      <c r="N531" s="231">
        <f t="shared" si="42"/>
        <v>3.0642503811386576E-18</v>
      </c>
    </row>
    <row r="532" spans="1:14" x14ac:dyDescent="0.45">
      <c r="F532" s="129"/>
    </row>
    <row r="533" spans="1:14" x14ac:dyDescent="0.45">
      <c r="B533" s="12" t="s">
        <v>25</v>
      </c>
      <c r="C533" s="26">
        <v>0.31065500000000001</v>
      </c>
      <c r="E533" s="189">
        <f>SUM(E36:E531)</f>
        <v>0.99999999999999911</v>
      </c>
      <c r="F533" s="129"/>
    </row>
    <row r="534" spans="1:14" x14ac:dyDescent="0.45">
      <c r="B534" s="12" t="s">
        <v>28</v>
      </c>
      <c r="C534" s="27">
        <v>0.264818</v>
      </c>
    </row>
    <row r="535" spans="1:14" x14ac:dyDescent="0.45">
      <c r="B535" s="12" t="s">
        <v>26</v>
      </c>
      <c r="C535" s="28">
        <v>0.33405099999999999</v>
      </c>
    </row>
    <row r="536" spans="1:14" x14ac:dyDescent="0.45">
      <c r="B536" s="12" t="s">
        <v>29</v>
      </c>
      <c r="C536" s="27">
        <v>0.30980999999999997</v>
      </c>
    </row>
    <row r="537" spans="1:14" x14ac:dyDescent="0.45">
      <c r="B537" s="11"/>
      <c r="C537" s="94"/>
    </row>
    <row r="538" spans="1:14" x14ac:dyDescent="0.45">
      <c r="A538" s="264"/>
      <c r="B538" s="264"/>
      <c r="C538" s="264"/>
      <c r="D538" s="264"/>
      <c r="E538" s="264"/>
      <c r="F538" s="264"/>
      <c r="G538" s="264"/>
      <c r="H538" s="264"/>
      <c r="I538" s="264"/>
      <c r="J538" s="264"/>
      <c r="K538" s="264"/>
      <c r="L538" s="264"/>
      <c r="M538" s="264"/>
      <c r="N538" s="264"/>
    </row>
    <row r="540" spans="1:14" x14ac:dyDescent="0.45">
      <c r="A540" s="263" t="s">
        <v>146</v>
      </c>
      <c r="B540" s="263"/>
      <c r="C540" s="263"/>
      <c r="G540" s="265" t="s">
        <v>171</v>
      </c>
      <c r="H540" s="265"/>
      <c r="I540" s="265"/>
      <c r="J540" s="265"/>
      <c r="L540" s="265" t="s">
        <v>171</v>
      </c>
      <c r="M540" s="265"/>
      <c r="N540" s="265"/>
    </row>
    <row r="541" spans="1:14" x14ac:dyDescent="0.45">
      <c r="G541" s="267" t="s">
        <v>262</v>
      </c>
      <c r="H541" s="267"/>
      <c r="I541" s="265"/>
      <c r="J541" s="265"/>
      <c r="L541" s="267" t="s">
        <v>263</v>
      </c>
      <c r="M541" s="265"/>
      <c r="N541" s="265"/>
    </row>
    <row r="542" spans="1:14" x14ac:dyDescent="0.45">
      <c r="G542" s="265"/>
      <c r="H542" s="265"/>
      <c r="I542" s="265"/>
      <c r="J542" s="265"/>
      <c r="L542" s="265"/>
      <c r="M542" s="265"/>
      <c r="N542" s="265"/>
    </row>
    <row r="543" spans="1:14" x14ac:dyDescent="0.45">
      <c r="G543" s="265"/>
      <c r="H543" s="265"/>
      <c r="I543" s="265"/>
      <c r="J543" s="265"/>
      <c r="L543" s="265"/>
      <c r="M543" s="265"/>
      <c r="N543" s="265"/>
    </row>
    <row r="545" spans="2:14" s="11" customFormat="1" x14ac:dyDescent="0.45">
      <c r="D545" s="266" t="s">
        <v>190</v>
      </c>
      <c r="E545" s="266"/>
      <c r="F545" s="131"/>
      <c r="G545" s="11" t="s">
        <v>168</v>
      </c>
      <c r="H545" s="125"/>
      <c r="I545" s="11" t="s">
        <v>169</v>
      </c>
      <c r="L545" s="11" t="s">
        <v>168</v>
      </c>
      <c r="N545" s="11" t="s">
        <v>170</v>
      </c>
    </row>
    <row r="546" spans="2:14" x14ac:dyDescent="0.45">
      <c r="B546" s="111" t="s">
        <v>25</v>
      </c>
      <c r="C546" s="103">
        <f>SUM(G546:G998)</f>
        <v>0.31065496563133099</v>
      </c>
      <c r="D546" s="165">
        <f>SUM(G999:G1041)</f>
        <v>0.68934503436867001</v>
      </c>
      <c r="E546" s="166">
        <f>C546+D546</f>
        <v>1.0000000000000009</v>
      </c>
      <c r="G546" s="115">
        <v>4.8569357496188599E-15</v>
      </c>
      <c r="H546" s="133"/>
      <c r="I546" s="21">
        <v>60</v>
      </c>
      <c r="J546" s="111" t="s">
        <v>24</v>
      </c>
      <c r="L546" s="116">
        <v>4.8569357496188599E-15</v>
      </c>
      <c r="M546" s="111" t="s">
        <v>24</v>
      </c>
      <c r="N546" s="22">
        <v>4.8600000000000001E-15</v>
      </c>
    </row>
    <row r="547" spans="2:14" x14ac:dyDescent="0.45">
      <c r="E547" s="126"/>
      <c r="G547" s="115">
        <v>1.4570807248856601E-13</v>
      </c>
      <c r="H547" s="133"/>
      <c r="I547" s="21">
        <v>54.2</v>
      </c>
      <c r="J547" s="111" t="s">
        <v>24</v>
      </c>
      <c r="L547" s="116">
        <v>1.4570807248856601E-13</v>
      </c>
      <c r="M547" s="111" t="s">
        <v>24</v>
      </c>
      <c r="N547" s="22">
        <v>3.8945999999999999E-13</v>
      </c>
    </row>
    <row r="548" spans="2:14" x14ac:dyDescent="0.45">
      <c r="B548" s="111" t="s">
        <v>26</v>
      </c>
      <c r="C548" s="104">
        <f>SUM(L546:L1001)</f>
        <v>0.3340507313337876</v>
      </c>
      <c r="D548" s="165">
        <f>SUM(L1002:L1041)</f>
        <v>0.66594926866621318</v>
      </c>
      <c r="E548" s="166">
        <f t="shared" ref="E548" si="43">C548+D548</f>
        <v>1.0000000000000009</v>
      </c>
      <c r="G548" s="115">
        <v>2.1127670510841999E-12</v>
      </c>
      <c r="H548" s="133"/>
      <c r="I548" s="21">
        <v>48.8</v>
      </c>
      <c r="J548" s="111" t="s">
        <v>24</v>
      </c>
      <c r="L548" s="116">
        <v>2.1127670510841999E-12</v>
      </c>
      <c r="M548" s="111" t="s">
        <v>24</v>
      </c>
      <c r="N548" s="22">
        <v>7.5424999999999994E-12</v>
      </c>
    </row>
    <row r="549" spans="2:14" x14ac:dyDescent="0.45">
      <c r="G549" s="115">
        <v>1.9719159143452599E-11</v>
      </c>
      <c r="H549" s="133"/>
      <c r="I549" s="21">
        <v>43.8</v>
      </c>
      <c r="J549" s="111" t="s">
        <v>24</v>
      </c>
      <c r="L549" s="116">
        <v>1.9719159143452599E-11</v>
      </c>
      <c r="M549" s="111" t="s">
        <v>24</v>
      </c>
      <c r="N549" s="22">
        <v>8.3524640000000003E-11</v>
      </c>
    </row>
    <row r="550" spans="2:14" x14ac:dyDescent="0.45">
      <c r="G550" s="115">
        <v>1.3310432421830501E-10</v>
      </c>
      <c r="H550" s="133"/>
      <c r="I550" s="21">
        <v>39.200000000000003</v>
      </c>
      <c r="J550" s="111" t="s">
        <v>24</v>
      </c>
      <c r="L550" s="116">
        <v>1.3310432421830501E-10</v>
      </c>
      <c r="M550" s="111" t="s">
        <v>24</v>
      </c>
      <c r="N550" s="22">
        <v>6.3453120999999999E-10</v>
      </c>
    </row>
    <row r="551" spans="2:14" x14ac:dyDescent="0.45">
      <c r="G551" s="115">
        <v>6.9214248593518502E-10</v>
      </c>
      <c r="H551" s="133"/>
      <c r="I551" s="21">
        <v>35</v>
      </c>
      <c r="J551" s="111" t="s">
        <v>24</v>
      </c>
      <c r="L551" s="116">
        <v>6.9214248593518502E-10</v>
      </c>
      <c r="M551" s="111" t="s">
        <v>24</v>
      </c>
      <c r="N551" s="22">
        <v>3.6028797000000002E-9</v>
      </c>
    </row>
    <row r="552" spans="2:14" x14ac:dyDescent="0.45">
      <c r="G552" s="115">
        <v>2.8839270247299399E-9</v>
      </c>
      <c r="H552" s="133"/>
      <c r="I552" s="21">
        <v>31.2</v>
      </c>
      <c r="J552" s="111" t="s">
        <v>24</v>
      </c>
      <c r="L552" s="116">
        <v>2.8839270247299399E-9</v>
      </c>
      <c r="M552" s="111" t="s">
        <v>24</v>
      </c>
      <c r="N552" s="22">
        <v>1.6070252350000001E-8</v>
      </c>
    </row>
    <row r="553" spans="2:14" x14ac:dyDescent="0.45">
      <c r="G553" s="115">
        <v>9.8877497990740807E-9</v>
      </c>
      <c r="H553" s="133"/>
      <c r="I553" s="21">
        <v>27.8</v>
      </c>
      <c r="J553" s="111" t="s">
        <v>24</v>
      </c>
      <c r="L553" s="116">
        <v>9.8877497990740807E-9</v>
      </c>
      <c r="M553" s="111" t="s">
        <v>24</v>
      </c>
      <c r="N553" s="22">
        <v>5.8153183100000002E-8</v>
      </c>
    </row>
    <row r="554" spans="2:14" x14ac:dyDescent="0.45">
      <c r="G554" s="115">
        <v>2.8427280672338001E-8</v>
      </c>
      <c r="H554" s="133"/>
      <c r="I554" s="21">
        <v>24.8</v>
      </c>
      <c r="J554" s="111" t="s">
        <v>24</v>
      </c>
      <c r="L554" s="116">
        <v>2.8427280672338001E-8</v>
      </c>
      <c r="M554" s="111" t="s">
        <v>24</v>
      </c>
      <c r="N554" s="22">
        <v>1.7457462827999999E-7</v>
      </c>
    </row>
    <row r="555" spans="2:14" x14ac:dyDescent="0.45">
      <c r="G555" s="115">
        <v>6.9488908310159502E-8</v>
      </c>
      <c r="H555" s="133"/>
      <c r="I555" s="21">
        <v>22.2</v>
      </c>
      <c r="J555" s="111" t="s">
        <v>24</v>
      </c>
      <c r="L555" s="116">
        <v>6.9488908310159502E-8</v>
      </c>
      <c r="M555" s="111" t="s">
        <v>24</v>
      </c>
      <c r="N555" s="22">
        <v>4.4178628125000002E-7</v>
      </c>
    </row>
    <row r="556" spans="2:14" x14ac:dyDescent="0.45">
      <c r="G556" s="115">
        <v>1.45926707451335E-7</v>
      </c>
      <c r="H556" s="133"/>
      <c r="I556" s="21">
        <v>20</v>
      </c>
      <c r="J556" s="111" t="s">
        <v>24</v>
      </c>
      <c r="L556" s="116">
        <v>1.45926707451335E-7</v>
      </c>
      <c r="M556" s="111" t="s">
        <v>24</v>
      </c>
      <c r="N556" s="22">
        <v>9.5367431641000003E-7</v>
      </c>
    </row>
    <row r="557" spans="2:14" x14ac:dyDescent="0.45">
      <c r="G557" s="115">
        <v>2.65321286275154E-7</v>
      </c>
      <c r="H557" s="133"/>
      <c r="I557" s="21">
        <v>18.2</v>
      </c>
      <c r="J557" s="111" t="s">
        <v>24</v>
      </c>
      <c r="L557" s="116">
        <v>2.65321286275154E-7</v>
      </c>
      <c r="M557" s="111" t="s">
        <v>24</v>
      </c>
      <c r="N557" s="22">
        <v>1.7715852068E-6</v>
      </c>
    </row>
    <row r="558" spans="2:14" x14ac:dyDescent="0.45">
      <c r="G558" s="115">
        <v>4.2009203660232801E-7</v>
      </c>
      <c r="H558" s="133"/>
      <c r="I558" s="21">
        <v>16.8</v>
      </c>
      <c r="J558" s="111" t="s">
        <v>24</v>
      </c>
      <c r="L558" s="116">
        <v>4.2009203660232801E-7</v>
      </c>
      <c r="M558" s="111" t="s">
        <v>24</v>
      </c>
      <c r="N558" s="22">
        <v>2.8504928472799999E-6</v>
      </c>
    </row>
    <row r="559" spans="2:14" x14ac:dyDescent="0.45">
      <c r="G559" s="115">
        <v>5.8166589683399196E-7</v>
      </c>
      <c r="H559" s="133"/>
      <c r="I559" s="21">
        <v>15.8</v>
      </c>
      <c r="J559" s="111" t="s">
        <v>24</v>
      </c>
      <c r="L559" s="116">
        <v>5.8166589683399196E-7</v>
      </c>
      <c r="M559" s="111" t="s">
        <v>24</v>
      </c>
      <c r="N559" s="22">
        <v>3.99121163143E-6</v>
      </c>
    </row>
    <row r="560" spans="2:14" x14ac:dyDescent="0.45">
      <c r="G560" s="115">
        <v>7.0630858901270501E-7</v>
      </c>
      <c r="H560" s="133"/>
      <c r="I560" s="21">
        <v>15.2</v>
      </c>
      <c r="J560" s="111" t="s">
        <v>24</v>
      </c>
      <c r="L560" s="116">
        <v>7.0630858901270501E-7</v>
      </c>
      <c r="M560" s="111" t="s">
        <v>24</v>
      </c>
      <c r="N560" s="22">
        <v>4.8785164979900002E-6</v>
      </c>
    </row>
    <row r="561" spans="7:14" x14ac:dyDescent="0.45">
      <c r="G561" s="115">
        <v>7.53395828280219E-7</v>
      </c>
      <c r="H561" s="133"/>
      <c r="I561" s="21">
        <v>15</v>
      </c>
      <c r="J561" s="111" t="s">
        <v>24</v>
      </c>
      <c r="L561" s="116">
        <v>7.53395828280219E-7</v>
      </c>
      <c r="M561" s="111" t="s">
        <v>24</v>
      </c>
      <c r="N561" s="22">
        <v>5.21509505085E-6</v>
      </c>
    </row>
    <row r="562" spans="7:14" x14ac:dyDescent="0.45">
      <c r="G562" s="115">
        <v>7.0630858901270501E-7</v>
      </c>
      <c r="H562" s="133"/>
      <c r="I562" s="21">
        <v>15.2</v>
      </c>
      <c r="J562" s="111" t="s">
        <v>24</v>
      </c>
      <c r="L562" s="116">
        <v>7.0630858901270501E-7</v>
      </c>
      <c r="M562" s="111" t="s">
        <v>24</v>
      </c>
      <c r="N562" s="22">
        <v>4.8785164979900002E-6</v>
      </c>
    </row>
    <row r="563" spans="7:14" x14ac:dyDescent="0.45">
      <c r="G563" s="115">
        <v>5.8166589683399196E-7</v>
      </c>
      <c r="H563" s="133"/>
      <c r="I563" s="21">
        <v>15.8</v>
      </c>
      <c r="J563" s="111" t="s">
        <v>24</v>
      </c>
      <c r="L563" s="116">
        <v>5.8166589683399196E-7</v>
      </c>
      <c r="M563" s="111" t="s">
        <v>24</v>
      </c>
      <c r="N563" s="22">
        <v>3.99121163143E-6</v>
      </c>
    </row>
    <row r="564" spans="7:14" x14ac:dyDescent="0.45">
      <c r="G564" s="115">
        <v>4.2009203660232801E-7</v>
      </c>
      <c r="H564" s="133"/>
      <c r="I564" s="21">
        <v>16.8</v>
      </c>
      <c r="J564" s="111" t="s">
        <v>24</v>
      </c>
      <c r="L564" s="116">
        <v>4.2009203660232801E-7</v>
      </c>
      <c r="M564" s="111" t="s">
        <v>24</v>
      </c>
      <c r="N564" s="22">
        <v>2.8504928472799999E-6</v>
      </c>
    </row>
    <row r="565" spans="7:14" x14ac:dyDescent="0.45">
      <c r="G565" s="115">
        <v>2.65321286275154E-7</v>
      </c>
      <c r="H565" s="133"/>
      <c r="I565" s="21">
        <v>18.2</v>
      </c>
      <c r="J565" s="111" t="s">
        <v>24</v>
      </c>
      <c r="L565" s="116">
        <v>2.65321286275154E-7</v>
      </c>
      <c r="M565" s="111" t="s">
        <v>24</v>
      </c>
      <c r="N565" s="22">
        <v>1.7715852068E-6</v>
      </c>
    </row>
    <row r="566" spans="7:14" x14ac:dyDescent="0.45">
      <c r="G566" s="115">
        <v>1.45926707451335E-7</v>
      </c>
      <c r="H566" s="133"/>
      <c r="I566" s="21">
        <v>20</v>
      </c>
      <c r="J566" s="111" t="s">
        <v>24</v>
      </c>
      <c r="L566" s="116">
        <v>1.45926707451335E-7</v>
      </c>
      <c r="M566" s="111" t="s">
        <v>24</v>
      </c>
      <c r="N566" s="22">
        <v>9.5367431641000003E-7</v>
      </c>
    </row>
    <row r="567" spans="7:14" x14ac:dyDescent="0.45">
      <c r="G567" s="115">
        <v>6.9488908310159502E-8</v>
      </c>
      <c r="H567" s="133"/>
      <c r="I567" s="21">
        <v>22.2</v>
      </c>
      <c r="J567" s="111" t="s">
        <v>24</v>
      </c>
      <c r="L567" s="116">
        <v>6.9488908310159502E-8</v>
      </c>
      <c r="M567" s="111" t="s">
        <v>24</v>
      </c>
      <c r="N567" s="22">
        <v>4.4178628125000002E-7</v>
      </c>
    </row>
    <row r="568" spans="7:14" x14ac:dyDescent="0.45">
      <c r="G568" s="115">
        <v>2.8427280672338001E-8</v>
      </c>
      <c r="H568" s="133"/>
      <c r="I568" s="21">
        <v>24.8</v>
      </c>
      <c r="J568" s="111" t="s">
        <v>24</v>
      </c>
      <c r="L568" s="116">
        <v>2.8427280672338001E-8</v>
      </c>
      <c r="M568" s="111" t="s">
        <v>24</v>
      </c>
      <c r="N568" s="22">
        <v>1.7457462827999999E-7</v>
      </c>
    </row>
    <row r="569" spans="7:14" x14ac:dyDescent="0.45">
      <c r="G569" s="115">
        <v>9.8877497990740807E-9</v>
      </c>
      <c r="H569" s="133"/>
      <c r="I569" s="21">
        <v>27.8</v>
      </c>
      <c r="J569" s="111" t="s">
        <v>24</v>
      </c>
      <c r="L569" s="116">
        <v>9.8877497990740807E-9</v>
      </c>
      <c r="M569" s="111" t="s">
        <v>24</v>
      </c>
      <c r="N569" s="22">
        <v>5.8153183100000002E-8</v>
      </c>
    </row>
    <row r="570" spans="7:14" x14ac:dyDescent="0.45">
      <c r="G570" s="115">
        <v>2.8839270247299399E-9</v>
      </c>
      <c r="H570" s="133"/>
      <c r="I570" s="21">
        <v>31.2</v>
      </c>
      <c r="J570" s="111" t="s">
        <v>24</v>
      </c>
      <c r="L570" s="116">
        <v>2.8839270247299399E-9</v>
      </c>
      <c r="M570" s="111" t="s">
        <v>24</v>
      </c>
      <c r="N570" s="22">
        <v>1.6070252350000001E-8</v>
      </c>
    </row>
    <row r="571" spans="7:14" x14ac:dyDescent="0.45">
      <c r="G571" s="115">
        <v>6.9214248593518502E-10</v>
      </c>
      <c r="H571" s="133"/>
      <c r="I571" s="21">
        <v>35</v>
      </c>
      <c r="J571" s="111" t="s">
        <v>24</v>
      </c>
      <c r="L571" s="116">
        <v>6.9214248593518502E-10</v>
      </c>
      <c r="M571" s="111" t="s">
        <v>24</v>
      </c>
      <c r="N571" s="22">
        <v>3.6028797000000002E-9</v>
      </c>
    </row>
    <row r="572" spans="7:14" x14ac:dyDescent="0.45">
      <c r="G572" s="115">
        <v>1.3310432421830501E-10</v>
      </c>
      <c r="H572" s="133"/>
      <c r="I572" s="21">
        <v>39.200000000000003</v>
      </c>
      <c r="J572" s="111" t="s">
        <v>24</v>
      </c>
      <c r="L572" s="116">
        <v>1.3310432421830501E-10</v>
      </c>
      <c r="M572" s="111" t="s">
        <v>24</v>
      </c>
      <c r="N572" s="22">
        <v>6.3453120999999999E-10</v>
      </c>
    </row>
    <row r="573" spans="7:14" x14ac:dyDescent="0.45">
      <c r="G573" s="115">
        <v>1.9719159143452599E-11</v>
      </c>
      <c r="H573" s="133"/>
      <c r="I573" s="21">
        <v>43.8</v>
      </c>
      <c r="J573" s="111" t="s">
        <v>24</v>
      </c>
      <c r="L573" s="116">
        <v>1.9719159143452599E-11</v>
      </c>
      <c r="M573" s="111" t="s">
        <v>24</v>
      </c>
      <c r="N573" s="22">
        <v>8.3524640000000003E-11</v>
      </c>
    </row>
    <row r="574" spans="7:14" x14ac:dyDescent="0.45">
      <c r="G574" s="115">
        <v>2.1127670510841999E-12</v>
      </c>
      <c r="H574" s="133"/>
      <c r="I574" s="21">
        <v>48.8</v>
      </c>
      <c r="J574" s="111" t="s">
        <v>24</v>
      </c>
      <c r="L574" s="116">
        <v>2.1127670510841999E-12</v>
      </c>
      <c r="M574" s="111" t="s">
        <v>24</v>
      </c>
      <c r="N574" s="22">
        <v>7.5424999999999994E-12</v>
      </c>
    </row>
    <row r="575" spans="7:14" x14ac:dyDescent="0.45">
      <c r="G575" s="115">
        <v>1.4570807248856601E-13</v>
      </c>
      <c r="H575" s="133"/>
      <c r="I575" s="21">
        <v>54.2</v>
      </c>
      <c r="J575" s="111" t="s">
        <v>24</v>
      </c>
      <c r="L575" s="116">
        <v>1.4570807248856601E-13</v>
      </c>
      <c r="M575" s="111" t="s">
        <v>24</v>
      </c>
      <c r="N575" s="22">
        <v>3.8945999999999999E-13</v>
      </c>
    </row>
    <row r="576" spans="7:14" x14ac:dyDescent="0.45">
      <c r="G576" s="115">
        <v>4.8569357496188599E-15</v>
      </c>
      <c r="H576" s="133"/>
      <c r="I576" s="21">
        <v>60</v>
      </c>
      <c r="J576" s="111" t="s">
        <v>24</v>
      </c>
      <c r="L576" s="116">
        <v>4.8569357496188599E-15</v>
      </c>
      <c r="M576" s="111" t="s">
        <v>24</v>
      </c>
      <c r="N576" s="22">
        <v>4.8600000000000001E-15</v>
      </c>
    </row>
    <row r="577" spans="7:14" x14ac:dyDescent="0.45">
      <c r="G577" s="115">
        <v>1.4570807248856601E-13</v>
      </c>
      <c r="H577" s="133"/>
      <c r="I577" s="21">
        <v>54.2</v>
      </c>
      <c r="J577" s="111" t="s">
        <v>24</v>
      </c>
      <c r="L577" s="116">
        <v>1.4570807248856601E-13</v>
      </c>
      <c r="M577" s="111" t="s">
        <v>24</v>
      </c>
      <c r="N577" s="22">
        <v>3.8945999999999999E-13</v>
      </c>
    </row>
    <row r="578" spans="7:14" x14ac:dyDescent="0.45">
      <c r="G578" s="115">
        <v>4.2255341021684104E-12</v>
      </c>
      <c r="H578" s="133"/>
      <c r="I578" s="21">
        <v>48.6</v>
      </c>
      <c r="J578" s="111" t="s">
        <v>24</v>
      </c>
      <c r="L578" s="116">
        <v>4.2255341021684104E-12</v>
      </c>
      <c r="M578" s="111" t="s">
        <v>24</v>
      </c>
      <c r="N578" s="22">
        <v>3.0169989999999998E-11</v>
      </c>
    </row>
    <row r="579" spans="7:14" x14ac:dyDescent="0.45">
      <c r="G579" s="115">
        <v>5.91574774303577E-11</v>
      </c>
      <c r="H579" s="133"/>
      <c r="I579" s="21">
        <v>43.4</v>
      </c>
      <c r="J579" s="111" t="s">
        <v>24</v>
      </c>
      <c r="L579" s="116">
        <v>5.91574774303577E-11</v>
      </c>
      <c r="M579" s="111" t="s">
        <v>24</v>
      </c>
      <c r="N579" s="22">
        <v>5.6379131000000002E-10</v>
      </c>
    </row>
    <row r="580" spans="7:14" x14ac:dyDescent="0.45">
      <c r="G580" s="115">
        <v>5.3241729687322004E-10</v>
      </c>
      <c r="H580" s="133"/>
      <c r="I580" s="21">
        <v>38.6</v>
      </c>
      <c r="J580" s="111" t="s">
        <v>24</v>
      </c>
      <c r="L580" s="116">
        <v>5.3241729687322004E-10</v>
      </c>
      <c r="M580" s="111" t="s">
        <v>24</v>
      </c>
      <c r="N580" s="22">
        <v>6.0162959099999998E-9</v>
      </c>
    </row>
    <row r="581" spans="7:14" x14ac:dyDescent="0.45">
      <c r="G581" s="115">
        <v>3.4607124296759301E-9</v>
      </c>
      <c r="H581" s="133"/>
      <c r="I581" s="21">
        <v>34.200000000000003</v>
      </c>
      <c r="J581" s="111" t="s">
        <v>24</v>
      </c>
      <c r="L581" s="116">
        <v>3.4607124296759301E-9</v>
      </c>
      <c r="M581" s="111" t="s">
        <v>24</v>
      </c>
      <c r="N581" s="22">
        <v>4.398046511E-8</v>
      </c>
    </row>
    <row r="582" spans="7:14" x14ac:dyDescent="0.45">
      <c r="G582" s="115">
        <v>1.7303562148379599E-8</v>
      </c>
      <c r="H582" s="133"/>
      <c r="I582" s="21">
        <v>30.2</v>
      </c>
      <c r="J582" s="111" t="s">
        <v>24</v>
      </c>
      <c r="L582" s="116">
        <v>1.7303562148379599E-8</v>
      </c>
      <c r="M582" s="111" t="s">
        <v>24</v>
      </c>
      <c r="N582" s="22">
        <v>2.3992758203000002E-7</v>
      </c>
    </row>
    <row r="583" spans="7:14" x14ac:dyDescent="0.45">
      <c r="G583" s="115">
        <v>6.9214248593518501E-8</v>
      </c>
      <c r="H583" s="133"/>
      <c r="I583" s="21">
        <v>26.6</v>
      </c>
      <c r="J583" s="111" t="s">
        <v>24</v>
      </c>
      <c r="L583" s="116">
        <v>6.9214248593518501E-8</v>
      </c>
      <c r="M583" s="111" t="s">
        <v>24</v>
      </c>
      <c r="N583" s="22">
        <v>1.02648420082E-6</v>
      </c>
    </row>
    <row r="584" spans="7:14" x14ac:dyDescent="0.45">
      <c r="G584" s="115">
        <v>2.27418245378704E-7</v>
      </c>
      <c r="H584" s="133"/>
      <c r="I584" s="21">
        <v>23.4</v>
      </c>
      <c r="J584" s="111" t="s">
        <v>24</v>
      </c>
      <c r="L584" s="116">
        <v>2.27418245378704E-7</v>
      </c>
      <c r="M584" s="111" t="s">
        <v>24</v>
      </c>
      <c r="N584" s="22">
        <v>3.5564339042099999E-6</v>
      </c>
    </row>
    <row r="585" spans="7:14" x14ac:dyDescent="0.45">
      <c r="G585" s="115">
        <v>6.2540017479143505E-7</v>
      </c>
      <c r="H585" s="133"/>
      <c r="I585" s="21">
        <v>20.6</v>
      </c>
      <c r="J585" s="111" t="s">
        <v>24</v>
      </c>
      <c r="L585" s="116">
        <v>6.2540017479143505E-7</v>
      </c>
      <c r="M585" s="111" t="s">
        <v>24</v>
      </c>
      <c r="N585" s="22">
        <v>1.020175559009E-5</v>
      </c>
    </row>
    <row r="586" spans="7:14" x14ac:dyDescent="0.45">
      <c r="G586" s="115">
        <v>1.45926707451335E-6</v>
      </c>
      <c r="H586" s="133"/>
      <c r="I586" s="21">
        <v>18.2</v>
      </c>
      <c r="J586" s="111" t="s">
        <v>24</v>
      </c>
      <c r="L586" s="116">
        <v>1.45926707451335E-6</v>
      </c>
      <c r="M586" s="111" t="s">
        <v>24</v>
      </c>
      <c r="N586" s="22">
        <v>2.4616001050119999E-5</v>
      </c>
    </row>
    <row r="587" spans="7:14" x14ac:dyDescent="0.45">
      <c r="G587" s="115">
        <v>2.9185341490266999E-6</v>
      </c>
      <c r="H587" s="133"/>
      <c r="I587" s="21">
        <v>16.2</v>
      </c>
      <c r="J587" s="111" t="s">
        <v>24</v>
      </c>
      <c r="L587" s="116">
        <v>2.9185341490266999E-6</v>
      </c>
      <c r="M587" s="111" t="s">
        <v>24</v>
      </c>
      <c r="N587" s="22">
        <v>5.0545393498239999E-5</v>
      </c>
    </row>
    <row r="588" spans="7:14" x14ac:dyDescent="0.45">
      <c r="G588" s="115">
        <v>5.0411044392279302E-6</v>
      </c>
      <c r="H588" s="133"/>
      <c r="I588" s="21">
        <v>14.6</v>
      </c>
      <c r="J588" s="111" t="s">
        <v>24</v>
      </c>
      <c r="L588" s="116">
        <v>5.0411044392279302E-6</v>
      </c>
      <c r="M588" s="111" t="s">
        <v>24</v>
      </c>
      <c r="N588" s="22">
        <v>8.9079007875550003E-5</v>
      </c>
    </row>
    <row r="589" spans="7:14" x14ac:dyDescent="0.45">
      <c r="G589" s="115">
        <v>7.5616566588419E-6</v>
      </c>
      <c r="H589" s="133"/>
      <c r="I589" s="21">
        <v>13.4</v>
      </c>
      <c r="J589" s="111" t="s">
        <v>24</v>
      </c>
      <c r="L589" s="116">
        <v>7.5616566588419E-6</v>
      </c>
      <c r="M589" s="111" t="s">
        <v>24</v>
      </c>
      <c r="N589" s="22">
        <v>1.3557929896794999E-4</v>
      </c>
    </row>
    <row r="590" spans="7:14" x14ac:dyDescent="0.45">
      <c r="G590" s="115">
        <v>9.8883202461778708E-6</v>
      </c>
      <c r="H590" s="133"/>
      <c r="I590" s="21">
        <v>12.6</v>
      </c>
      <c r="J590" s="111" t="s">
        <v>24</v>
      </c>
      <c r="L590" s="116">
        <v>9.8883202461778708E-6</v>
      </c>
      <c r="M590" s="111" t="s">
        <v>24</v>
      </c>
      <c r="N590" s="22">
        <v>1.7898502532681001E-4</v>
      </c>
    </row>
    <row r="591" spans="7:14" x14ac:dyDescent="0.45">
      <c r="G591" s="115">
        <v>1.1300937424203301E-5</v>
      </c>
      <c r="H591" s="133"/>
      <c r="I591" s="21">
        <v>12.2</v>
      </c>
      <c r="J591" s="111" t="s">
        <v>24</v>
      </c>
      <c r="L591" s="116">
        <v>1.1300937424203301E-5</v>
      </c>
      <c r="M591" s="111" t="s">
        <v>24</v>
      </c>
      <c r="N591" s="22">
        <v>2.0551267618633E-4</v>
      </c>
    </row>
    <row r="592" spans="7:14" x14ac:dyDescent="0.45">
      <c r="G592" s="115">
        <v>1.1300937424203301E-5</v>
      </c>
      <c r="H592" s="133"/>
      <c r="I592" s="21">
        <v>12.2</v>
      </c>
      <c r="J592" s="111" t="s">
        <v>24</v>
      </c>
      <c r="L592" s="116">
        <v>1.1300937424203301E-5</v>
      </c>
      <c r="M592" s="111" t="s">
        <v>24</v>
      </c>
      <c r="N592" s="22">
        <v>2.0551267618633E-4</v>
      </c>
    </row>
    <row r="593" spans="7:14" x14ac:dyDescent="0.45">
      <c r="G593" s="115">
        <v>9.8883202461778708E-6</v>
      </c>
      <c r="H593" s="133"/>
      <c r="I593" s="21">
        <v>12.6</v>
      </c>
      <c r="J593" s="111" t="s">
        <v>24</v>
      </c>
      <c r="L593" s="116">
        <v>9.8883202461778708E-6</v>
      </c>
      <c r="M593" s="111" t="s">
        <v>24</v>
      </c>
      <c r="N593" s="22">
        <v>1.7898502532681001E-4</v>
      </c>
    </row>
    <row r="594" spans="7:14" x14ac:dyDescent="0.45">
      <c r="G594" s="115">
        <v>7.5616566588419E-6</v>
      </c>
      <c r="H594" s="133"/>
      <c r="I594" s="21">
        <v>13.4</v>
      </c>
      <c r="J594" s="111" t="s">
        <v>24</v>
      </c>
      <c r="L594" s="116">
        <v>7.5616566588419E-6</v>
      </c>
      <c r="M594" s="111" t="s">
        <v>24</v>
      </c>
      <c r="N594" s="22">
        <v>1.3557929896794999E-4</v>
      </c>
    </row>
    <row r="595" spans="7:14" x14ac:dyDescent="0.45">
      <c r="G595" s="115">
        <v>5.0411044392279302E-6</v>
      </c>
      <c r="H595" s="133"/>
      <c r="I595" s="21">
        <v>14.6</v>
      </c>
      <c r="J595" s="111" t="s">
        <v>24</v>
      </c>
      <c r="L595" s="116">
        <v>5.0411044392279302E-6</v>
      </c>
      <c r="M595" s="111" t="s">
        <v>24</v>
      </c>
      <c r="N595" s="22">
        <v>8.9079007875550003E-5</v>
      </c>
    </row>
    <row r="596" spans="7:14" x14ac:dyDescent="0.45">
      <c r="G596" s="115">
        <v>2.9185341490266999E-6</v>
      </c>
      <c r="H596" s="133"/>
      <c r="I596" s="21">
        <v>16.2</v>
      </c>
      <c r="J596" s="111" t="s">
        <v>24</v>
      </c>
      <c r="L596" s="116">
        <v>2.9185341490266999E-6</v>
      </c>
      <c r="M596" s="111" t="s">
        <v>24</v>
      </c>
      <c r="N596" s="22">
        <v>5.0545393498239999E-5</v>
      </c>
    </row>
    <row r="597" spans="7:14" x14ac:dyDescent="0.45">
      <c r="G597" s="115">
        <v>1.45926707451335E-6</v>
      </c>
      <c r="H597" s="133"/>
      <c r="I597" s="21">
        <v>18.2</v>
      </c>
      <c r="J597" s="111" t="s">
        <v>24</v>
      </c>
      <c r="L597" s="116">
        <v>1.45926707451335E-6</v>
      </c>
      <c r="M597" s="111" t="s">
        <v>24</v>
      </c>
      <c r="N597" s="22">
        <v>2.4616001050119999E-5</v>
      </c>
    </row>
    <row r="598" spans="7:14" x14ac:dyDescent="0.45">
      <c r="G598" s="115">
        <v>6.2540017479143505E-7</v>
      </c>
      <c r="H598" s="133"/>
      <c r="I598" s="21">
        <v>20.6</v>
      </c>
      <c r="J598" s="111" t="s">
        <v>24</v>
      </c>
      <c r="L598" s="116">
        <v>6.2540017479143505E-7</v>
      </c>
      <c r="M598" s="111" t="s">
        <v>24</v>
      </c>
      <c r="N598" s="22">
        <v>1.020175559009E-5</v>
      </c>
    </row>
    <row r="599" spans="7:14" x14ac:dyDescent="0.45">
      <c r="G599" s="115">
        <v>2.27418245378704E-7</v>
      </c>
      <c r="H599" s="133"/>
      <c r="I599" s="21">
        <v>23.4</v>
      </c>
      <c r="J599" s="111" t="s">
        <v>24</v>
      </c>
      <c r="L599" s="116">
        <v>2.27418245378704E-7</v>
      </c>
      <c r="M599" s="111" t="s">
        <v>24</v>
      </c>
      <c r="N599" s="22">
        <v>3.5564339042099999E-6</v>
      </c>
    </row>
    <row r="600" spans="7:14" x14ac:dyDescent="0.45">
      <c r="G600" s="115">
        <v>6.9214248593518501E-8</v>
      </c>
      <c r="H600" s="133"/>
      <c r="I600" s="21">
        <v>26.6</v>
      </c>
      <c r="J600" s="111" t="s">
        <v>24</v>
      </c>
      <c r="L600" s="116">
        <v>6.9214248593518501E-8</v>
      </c>
      <c r="M600" s="111" t="s">
        <v>24</v>
      </c>
      <c r="N600" s="22">
        <v>1.02648420082E-6</v>
      </c>
    </row>
    <row r="601" spans="7:14" x14ac:dyDescent="0.45">
      <c r="G601" s="115">
        <v>1.7303562148379599E-8</v>
      </c>
      <c r="H601" s="133"/>
      <c r="I601" s="21">
        <v>30.2</v>
      </c>
      <c r="J601" s="111" t="s">
        <v>24</v>
      </c>
      <c r="L601" s="116">
        <v>1.7303562148379599E-8</v>
      </c>
      <c r="M601" s="111" t="s">
        <v>24</v>
      </c>
      <c r="N601" s="22">
        <v>2.3992758203000002E-7</v>
      </c>
    </row>
    <row r="602" spans="7:14" x14ac:dyDescent="0.45">
      <c r="G602" s="115">
        <v>3.4607124296759301E-9</v>
      </c>
      <c r="H602" s="133"/>
      <c r="I602" s="21">
        <v>34.200000000000003</v>
      </c>
      <c r="J602" s="111" t="s">
        <v>24</v>
      </c>
      <c r="L602" s="116">
        <v>3.4607124296759301E-9</v>
      </c>
      <c r="M602" s="111" t="s">
        <v>24</v>
      </c>
      <c r="N602" s="22">
        <v>4.398046511E-8</v>
      </c>
    </row>
    <row r="603" spans="7:14" x14ac:dyDescent="0.45">
      <c r="G603" s="115">
        <v>5.3241729687322004E-10</v>
      </c>
      <c r="H603" s="133"/>
      <c r="I603" s="21">
        <v>38.6</v>
      </c>
      <c r="J603" s="111" t="s">
        <v>24</v>
      </c>
      <c r="L603" s="116">
        <v>5.3241729687322004E-10</v>
      </c>
      <c r="M603" s="111" t="s">
        <v>24</v>
      </c>
      <c r="N603" s="22">
        <v>6.0162959099999998E-9</v>
      </c>
    </row>
    <row r="604" spans="7:14" x14ac:dyDescent="0.45">
      <c r="G604" s="115">
        <v>5.91574774303577E-11</v>
      </c>
      <c r="H604" s="133"/>
      <c r="I604" s="21">
        <v>43.4</v>
      </c>
      <c r="J604" s="111" t="s">
        <v>24</v>
      </c>
      <c r="L604" s="116">
        <v>5.91574774303577E-11</v>
      </c>
      <c r="M604" s="111" t="s">
        <v>24</v>
      </c>
      <c r="N604" s="22">
        <v>5.6379131000000002E-10</v>
      </c>
    </row>
    <row r="605" spans="7:14" x14ac:dyDescent="0.45">
      <c r="G605" s="115">
        <v>4.2255341021684104E-12</v>
      </c>
      <c r="H605" s="133"/>
      <c r="I605" s="21">
        <v>48.6</v>
      </c>
      <c r="J605" s="111" t="s">
        <v>24</v>
      </c>
      <c r="L605" s="116">
        <v>4.2255341021684104E-12</v>
      </c>
      <c r="M605" s="111" t="s">
        <v>24</v>
      </c>
      <c r="N605" s="22">
        <v>3.0169989999999998E-11</v>
      </c>
    </row>
    <row r="606" spans="7:14" x14ac:dyDescent="0.45">
      <c r="G606" s="115">
        <v>1.4570807248856601E-13</v>
      </c>
      <c r="H606" s="133"/>
      <c r="I606" s="21">
        <v>54.2</v>
      </c>
      <c r="J606" s="111" t="s">
        <v>24</v>
      </c>
      <c r="L606" s="116">
        <v>1.4570807248856601E-13</v>
      </c>
      <c r="M606" s="111" t="s">
        <v>24</v>
      </c>
      <c r="N606" s="22">
        <v>3.8945999999999999E-13</v>
      </c>
    </row>
    <row r="607" spans="7:14" x14ac:dyDescent="0.45">
      <c r="G607" s="115">
        <v>2.1127670510841999E-12</v>
      </c>
      <c r="H607" s="133"/>
      <c r="I607" s="21">
        <v>48.8</v>
      </c>
      <c r="J607" s="111" t="s">
        <v>24</v>
      </c>
      <c r="L607" s="116">
        <v>2.1127670510841999E-12</v>
      </c>
      <c r="M607" s="111" t="s">
        <v>24</v>
      </c>
      <c r="N607" s="22">
        <v>7.5424999999999994E-12</v>
      </c>
    </row>
    <row r="608" spans="7:14" x14ac:dyDescent="0.45">
      <c r="G608" s="115">
        <v>5.91574774303577E-11</v>
      </c>
      <c r="H608" s="133"/>
      <c r="I608" s="21">
        <v>43.4</v>
      </c>
      <c r="J608" s="111" t="s">
        <v>24</v>
      </c>
      <c r="L608" s="116">
        <v>5.91574774303577E-11</v>
      </c>
      <c r="M608" s="111" t="s">
        <v>24</v>
      </c>
      <c r="N608" s="22">
        <v>5.6379131000000002E-10</v>
      </c>
    </row>
    <row r="609" spans="7:14" x14ac:dyDescent="0.45">
      <c r="G609" s="115">
        <v>7.9862594530982897E-10</v>
      </c>
      <c r="H609" s="133"/>
      <c r="I609" s="21">
        <v>38.4</v>
      </c>
      <c r="J609" s="111" t="s">
        <v>24</v>
      </c>
      <c r="L609" s="116">
        <v>7.9862594530982897E-10</v>
      </c>
      <c r="M609" s="111" t="s">
        <v>24</v>
      </c>
      <c r="N609" s="22">
        <v>1.015249934E-8</v>
      </c>
    </row>
    <row r="610" spans="7:14" x14ac:dyDescent="0.45">
      <c r="G610" s="115">
        <v>6.9214248593518502E-9</v>
      </c>
      <c r="H610" s="133"/>
      <c r="I610" s="21">
        <v>33.799999999999997</v>
      </c>
      <c r="J610" s="111" t="s">
        <v>24</v>
      </c>
      <c r="L610" s="116">
        <v>6.9214248593518502E-9</v>
      </c>
      <c r="M610" s="111" t="s">
        <v>24</v>
      </c>
      <c r="N610" s="22">
        <v>1.0424999137E-7</v>
      </c>
    </row>
    <row r="611" spans="7:14" x14ac:dyDescent="0.45">
      <c r="G611" s="115">
        <v>4.3258905370949103E-8</v>
      </c>
      <c r="H611" s="133"/>
      <c r="I611" s="21">
        <v>29.6</v>
      </c>
      <c r="J611" s="111" t="s">
        <v>24</v>
      </c>
      <c r="L611" s="116">
        <v>4.3258905370949103E-8</v>
      </c>
      <c r="M611" s="111" t="s">
        <v>24</v>
      </c>
      <c r="N611" s="22">
        <v>7.3220087288000004E-7</v>
      </c>
    </row>
    <row r="612" spans="7:14" x14ac:dyDescent="0.45">
      <c r="G612" s="115">
        <v>2.07642745780556E-7</v>
      </c>
      <c r="H612" s="133"/>
      <c r="I612" s="21">
        <v>25.8</v>
      </c>
      <c r="J612" s="111" t="s">
        <v>24</v>
      </c>
      <c r="L612" s="116">
        <v>2.07642745780556E-7</v>
      </c>
      <c r="M612" s="111" t="s">
        <v>24</v>
      </c>
      <c r="N612" s="22">
        <v>3.8313317498700002E-6</v>
      </c>
    </row>
    <row r="613" spans="7:14" x14ac:dyDescent="0.45">
      <c r="G613" s="115">
        <v>7.95963858825463E-7</v>
      </c>
      <c r="H613" s="133"/>
      <c r="I613" s="21">
        <v>22.4</v>
      </c>
      <c r="J613" s="111" t="s">
        <v>24</v>
      </c>
      <c r="L613" s="116">
        <v>7.95963858825463E-7</v>
      </c>
      <c r="M613" s="111" t="s">
        <v>24</v>
      </c>
      <c r="N613" s="22">
        <v>1.569399566389E-5</v>
      </c>
    </row>
    <row r="614" spans="7:14" x14ac:dyDescent="0.45">
      <c r="G614" s="115">
        <v>2.5016006991657402E-6</v>
      </c>
      <c r="H614" s="133"/>
      <c r="I614" s="21">
        <v>19.399999999999999</v>
      </c>
      <c r="J614" s="111" t="s">
        <v>24</v>
      </c>
      <c r="L614" s="116">
        <v>2.5016006991657402E-6</v>
      </c>
      <c r="M614" s="111" t="s">
        <v>24</v>
      </c>
      <c r="N614" s="22">
        <v>5.1957535038879999E-5</v>
      </c>
    </row>
    <row r="615" spans="7:14" x14ac:dyDescent="0.45">
      <c r="G615" s="115">
        <v>6.5667018353100701E-6</v>
      </c>
      <c r="H615" s="133"/>
      <c r="I615" s="21">
        <v>16.8</v>
      </c>
      <c r="J615" s="111" t="s">
        <v>24</v>
      </c>
      <c r="L615" s="116">
        <v>6.5667018353100701E-6</v>
      </c>
      <c r="M615" s="111" t="s">
        <v>24</v>
      </c>
      <c r="N615" s="22">
        <v>1.4210854715202001E-4</v>
      </c>
    </row>
    <row r="616" spans="7:14" x14ac:dyDescent="0.45">
      <c r="G616" s="115">
        <v>1.4592670745133499E-5</v>
      </c>
      <c r="H616" s="133"/>
      <c r="I616" s="21">
        <v>14.6</v>
      </c>
      <c r="J616" s="111" t="s">
        <v>24</v>
      </c>
      <c r="L616" s="116">
        <v>1.4592670745133499E-5</v>
      </c>
      <c r="M616" s="111" t="s">
        <v>24</v>
      </c>
      <c r="N616" s="22">
        <v>3.2616623883719001E-4</v>
      </c>
    </row>
    <row r="617" spans="7:14" x14ac:dyDescent="0.45">
      <c r="G617" s="115">
        <v>2.7726074415753601E-5</v>
      </c>
      <c r="H617" s="133"/>
      <c r="I617" s="21">
        <v>12.8</v>
      </c>
      <c r="J617" s="111" t="s">
        <v>24</v>
      </c>
      <c r="L617" s="116">
        <v>2.7726074415753601E-5</v>
      </c>
      <c r="M617" s="111" t="s">
        <v>24</v>
      </c>
      <c r="N617" s="22">
        <v>6.3538201383358996E-4</v>
      </c>
    </row>
    <row r="618" spans="7:14" x14ac:dyDescent="0.45">
      <c r="G618" s="115">
        <v>4.53699399530514E-5</v>
      </c>
      <c r="H618" s="133"/>
      <c r="I618" s="21">
        <v>11.4</v>
      </c>
      <c r="J618" s="111" t="s">
        <v>24</v>
      </c>
      <c r="L618" s="116">
        <v>4.53699399530514E-5</v>
      </c>
      <c r="M618" s="111" t="s">
        <v>24</v>
      </c>
      <c r="N618" s="22">
        <v>1.0592264292183099E-3</v>
      </c>
    </row>
    <row r="619" spans="7:14" x14ac:dyDescent="0.45">
      <c r="G619" s="115">
        <v>6.4274081600156199E-5</v>
      </c>
      <c r="H619" s="133"/>
      <c r="I619" s="21">
        <v>10.4</v>
      </c>
      <c r="J619" s="111" t="s">
        <v>24</v>
      </c>
      <c r="L619" s="116">
        <v>6.4274081600156199E-5</v>
      </c>
      <c r="M619" s="111" t="s">
        <v>24</v>
      </c>
      <c r="N619" s="22">
        <v>1.5200061097023301E-3</v>
      </c>
    </row>
    <row r="620" spans="7:14" x14ac:dyDescent="0.45">
      <c r="G620" s="115">
        <v>7.9106561969422993E-5</v>
      </c>
      <c r="H620" s="133"/>
      <c r="I620" s="21">
        <v>9.8000000000000007</v>
      </c>
      <c r="J620" s="111" t="s">
        <v>24</v>
      </c>
      <c r="L620" s="116">
        <v>7.9106561969422993E-5</v>
      </c>
      <c r="M620" s="111" t="s">
        <v>24</v>
      </c>
      <c r="N620" s="22">
        <v>1.8849834558998201E-3</v>
      </c>
    </row>
    <row r="621" spans="7:14" x14ac:dyDescent="0.45">
      <c r="G621" s="115">
        <v>8.4757030681524597E-5</v>
      </c>
      <c r="H621" s="133"/>
      <c r="I621" s="21">
        <v>9.6</v>
      </c>
      <c r="J621" s="111" t="s">
        <v>24</v>
      </c>
      <c r="L621" s="116">
        <v>8.4757030681524597E-5</v>
      </c>
      <c r="M621" s="111" t="s">
        <v>24</v>
      </c>
      <c r="N621" s="22">
        <v>2.0246735515592499E-3</v>
      </c>
    </row>
    <row r="622" spans="7:14" x14ac:dyDescent="0.45">
      <c r="G622" s="115">
        <v>7.9106561969422993E-5</v>
      </c>
      <c r="H622" s="133"/>
      <c r="I622" s="21">
        <v>9.8000000000000007</v>
      </c>
      <c r="J622" s="111" t="s">
        <v>24</v>
      </c>
      <c r="L622" s="116">
        <v>7.9106561969422993E-5</v>
      </c>
      <c r="M622" s="111" t="s">
        <v>24</v>
      </c>
      <c r="N622" s="22">
        <v>1.8849834558998201E-3</v>
      </c>
    </row>
    <row r="623" spans="7:14" x14ac:dyDescent="0.45">
      <c r="G623" s="115">
        <v>6.4274081600156199E-5</v>
      </c>
      <c r="H623" s="133"/>
      <c r="I623" s="21">
        <v>10.4</v>
      </c>
      <c r="J623" s="111" t="s">
        <v>24</v>
      </c>
      <c r="L623" s="116">
        <v>6.4274081600156199E-5</v>
      </c>
      <c r="M623" s="111" t="s">
        <v>24</v>
      </c>
      <c r="N623" s="22">
        <v>1.5200061097023301E-3</v>
      </c>
    </row>
    <row r="624" spans="7:14" x14ac:dyDescent="0.45">
      <c r="G624" s="115">
        <v>4.53699399530514E-5</v>
      </c>
      <c r="H624" s="133"/>
      <c r="I624" s="21">
        <v>11.4</v>
      </c>
      <c r="J624" s="111" t="s">
        <v>24</v>
      </c>
      <c r="L624" s="116">
        <v>4.53699399530514E-5</v>
      </c>
      <c r="M624" s="111" t="s">
        <v>24</v>
      </c>
      <c r="N624" s="22">
        <v>1.0592264292183099E-3</v>
      </c>
    </row>
    <row r="625" spans="7:14" x14ac:dyDescent="0.45">
      <c r="G625" s="115">
        <v>2.7726074415753601E-5</v>
      </c>
      <c r="H625" s="133"/>
      <c r="I625" s="21">
        <v>12.8</v>
      </c>
      <c r="J625" s="111" t="s">
        <v>24</v>
      </c>
      <c r="L625" s="116">
        <v>2.7726074415753601E-5</v>
      </c>
      <c r="M625" s="111" t="s">
        <v>24</v>
      </c>
      <c r="N625" s="22">
        <v>6.3538201383358996E-4</v>
      </c>
    </row>
    <row r="626" spans="7:14" x14ac:dyDescent="0.45">
      <c r="G626" s="115">
        <v>1.4592670745133499E-5</v>
      </c>
      <c r="H626" s="133"/>
      <c r="I626" s="21">
        <v>14.6</v>
      </c>
      <c r="J626" s="111" t="s">
        <v>24</v>
      </c>
      <c r="L626" s="116">
        <v>1.4592670745133499E-5</v>
      </c>
      <c r="M626" s="111" t="s">
        <v>24</v>
      </c>
      <c r="N626" s="22">
        <v>3.2616623883719001E-4</v>
      </c>
    </row>
    <row r="627" spans="7:14" x14ac:dyDescent="0.45">
      <c r="G627" s="115">
        <v>6.5667018353100701E-6</v>
      </c>
      <c r="H627" s="133"/>
      <c r="I627" s="21">
        <v>16.8</v>
      </c>
      <c r="J627" s="111" t="s">
        <v>24</v>
      </c>
      <c r="L627" s="116">
        <v>6.5667018353100701E-6</v>
      </c>
      <c r="M627" s="111" t="s">
        <v>24</v>
      </c>
      <c r="N627" s="22">
        <v>1.4210854715202001E-4</v>
      </c>
    </row>
    <row r="628" spans="7:14" x14ac:dyDescent="0.45">
      <c r="G628" s="115">
        <v>2.5016006991657402E-6</v>
      </c>
      <c r="H628" s="133"/>
      <c r="I628" s="21">
        <v>19.399999999999999</v>
      </c>
      <c r="J628" s="111" t="s">
        <v>24</v>
      </c>
      <c r="L628" s="116">
        <v>2.5016006991657402E-6</v>
      </c>
      <c r="M628" s="111" t="s">
        <v>24</v>
      </c>
      <c r="N628" s="22">
        <v>5.1957535038879999E-5</v>
      </c>
    </row>
    <row r="629" spans="7:14" x14ac:dyDescent="0.45">
      <c r="G629" s="115">
        <v>7.95963858825463E-7</v>
      </c>
      <c r="H629" s="133"/>
      <c r="I629" s="21">
        <v>22.4</v>
      </c>
      <c r="J629" s="111" t="s">
        <v>24</v>
      </c>
      <c r="L629" s="116">
        <v>7.95963858825463E-7</v>
      </c>
      <c r="M629" s="111" t="s">
        <v>24</v>
      </c>
      <c r="N629" s="22">
        <v>1.569399566389E-5</v>
      </c>
    </row>
    <row r="630" spans="7:14" x14ac:dyDescent="0.45">
      <c r="G630" s="115">
        <v>2.07642745780556E-7</v>
      </c>
      <c r="H630" s="133"/>
      <c r="I630" s="21">
        <v>25.8</v>
      </c>
      <c r="J630" s="111" t="s">
        <v>24</v>
      </c>
      <c r="L630" s="116">
        <v>2.07642745780556E-7</v>
      </c>
      <c r="M630" s="111" t="s">
        <v>24</v>
      </c>
      <c r="N630" s="22">
        <v>3.8313317498700002E-6</v>
      </c>
    </row>
    <row r="631" spans="7:14" x14ac:dyDescent="0.45">
      <c r="G631" s="115">
        <v>4.3258905370949103E-8</v>
      </c>
      <c r="H631" s="133"/>
      <c r="I631" s="21">
        <v>29.6</v>
      </c>
      <c r="J631" s="111" t="s">
        <v>24</v>
      </c>
      <c r="L631" s="116">
        <v>4.3258905370949103E-8</v>
      </c>
      <c r="M631" s="111" t="s">
        <v>24</v>
      </c>
      <c r="N631" s="22">
        <v>7.3220087288000004E-7</v>
      </c>
    </row>
    <row r="632" spans="7:14" x14ac:dyDescent="0.45">
      <c r="G632" s="115">
        <v>6.9214248593518502E-9</v>
      </c>
      <c r="H632" s="133"/>
      <c r="I632" s="21">
        <v>33.799999999999997</v>
      </c>
      <c r="J632" s="111" t="s">
        <v>24</v>
      </c>
      <c r="L632" s="116">
        <v>6.9214248593518502E-9</v>
      </c>
      <c r="M632" s="111" t="s">
        <v>24</v>
      </c>
      <c r="N632" s="22">
        <v>1.0424999137E-7</v>
      </c>
    </row>
    <row r="633" spans="7:14" x14ac:dyDescent="0.45">
      <c r="G633" s="115">
        <v>7.9862594530982897E-10</v>
      </c>
      <c r="H633" s="133"/>
      <c r="I633" s="21">
        <v>38.4</v>
      </c>
      <c r="J633" s="111" t="s">
        <v>24</v>
      </c>
      <c r="L633" s="116">
        <v>7.9862594530982897E-10</v>
      </c>
      <c r="M633" s="111" t="s">
        <v>24</v>
      </c>
      <c r="N633" s="22">
        <v>1.015249934E-8</v>
      </c>
    </row>
    <row r="634" spans="7:14" x14ac:dyDescent="0.45">
      <c r="G634" s="115">
        <v>5.91574774303577E-11</v>
      </c>
      <c r="H634" s="133"/>
      <c r="I634" s="21">
        <v>43.4</v>
      </c>
      <c r="J634" s="111" t="s">
        <v>24</v>
      </c>
      <c r="L634" s="116">
        <v>5.91574774303577E-11</v>
      </c>
      <c r="M634" s="111" t="s">
        <v>24</v>
      </c>
      <c r="N634" s="22">
        <v>5.6379131000000002E-10</v>
      </c>
    </row>
    <row r="635" spans="7:14" x14ac:dyDescent="0.45">
      <c r="G635" s="115">
        <v>2.1127670510841999E-12</v>
      </c>
      <c r="H635" s="133"/>
      <c r="I635" s="21">
        <v>48.8</v>
      </c>
      <c r="J635" s="111" t="s">
        <v>24</v>
      </c>
      <c r="L635" s="116">
        <v>2.1127670510841999E-12</v>
      </c>
      <c r="M635" s="111" t="s">
        <v>24</v>
      </c>
      <c r="N635" s="22">
        <v>7.5424999999999994E-12</v>
      </c>
    </row>
    <row r="636" spans="7:14" x14ac:dyDescent="0.45">
      <c r="G636" s="115">
        <v>1.9719159143452599E-11</v>
      </c>
      <c r="H636" s="133"/>
      <c r="I636" s="21">
        <v>43.8</v>
      </c>
      <c r="J636" s="111" t="s">
        <v>24</v>
      </c>
      <c r="L636" s="116">
        <v>1.9719159143452599E-11</v>
      </c>
      <c r="M636" s="111" t="s">
        <v>24</v>
      </c>
      <c r="N636" s="22">
        <v>8.3524640000000003E-11</v>
      </c>
    </row>
    <row r="637" spans="7:14" x14ac:dyDescent="0.45">
      <c r="G637" s="115">
        <v>5.3241729687322004E-10</v>
      </c>
      <c r="H637" s="133"/>
      <c r="I637" s="21">
        <v>38.6</v>
      </c>
      <c r="J637" s="111" t="s">
        <v>24</v>
      </c>
      <c r="L637" s="116">
        <v>5.3241729687322004E-10</v>
      </c>
      <c r="M637" s="111" t="s">
        <v>24</v>
      </c>
      <c r="N637" s="22">
        <v>6.0162959099999998E-9</v>
      </c>
    </row>
    <row r="638" spans="7:14" x14ac:dyDescent="0.45">
      <c r="G638" s="115">
        <v>6.9214248593518502E-9</v>
      </c>
      <c r="H638" s="133"/>
      <c r="I638" s="21">
        <v>33.799999999999997</v>
      </c>
      <c r="J638" s="111" t="s">
        <v>24</v>
      </c>
      <c r="L638" s="116">
        <v>6.9214248593518502E-9</v>
      </c>
      <c r="M638" s="111" t="s">
        <v>24</v>
      </c>
      <c r="N638" s="22">
        <v>1.0424999137E-7</v>
      </c>
    </row>
    <row r="639" spans="7:14" x14ac:dyDescent="0.45">
      <c r="G639" s="115">
        <v>5.7678540494598799E-8</v>
      </c>
      <c r="H639" s="133"/>
      <c r="I639" s="21">
        <v>29.4</v>
      </c>
      <c r="J639" s="111" t="s">
        <v>24</v>
      </c>
      <c r="L639" s="116">
        <v>5.7678540494598799E-8</v>
      </c>
      <c r="M639" s="111" t="s">
        <v>24</v>
      </c>
      <c r="N639" s="22">
        <v>1.02849615066E-6</v>
      </c>
    </row>
    <row r="640" spans="7:14" x14ac:dyDescent="0.45">
      <c r="G640" s="115">
        <v>3.4607124296759298E-7</v>
      </c>
      <c r="H640" s="133"/>
      <c r="I640" s="21">
        <v>25.4</v>
      </c>
      <c r="J640" s="111" t="s">
        <v>24</v>
      </c>
      <c r="L640" s="116">
        <v>3.4607124296759298E-7</v>
      </c>
      <c r="M640" s="111" t="s">
        <v>24</v>
      </c>
      <c r="N640" s="22">
        <v>6.9287683555299997E-6</v>
      </c>
    </row>
    <row r="641" spans="7:14" x14ac:dyDescent="0.45">
      <c r="G641" s="115">
        <v>1.59192771765093E-6</v>
      </c>
      <c r="H641" s="133"/>
      <c r="I641" s="21">
        <v>21.8</v>
      </c>
      <c r="J641" s="111" t="s">
        <v>24</v>
      </c>
      <c r="L641" s="116">
        <v>1.59192771765093E-6</v>
      </c>
      <c r="M641" s="111" t="s">
        <v>24</v>
      </c>
      <c r="N641" s="22">
        <v>3.4712607369219998E-5</v>
      </c>
    </row>
    <row r="642" spans="7:14" x14ac:dyDescent="0.45">
      <c r="G642" s="115">
        <v>5.8370682980533999E-6</v>
      </c>
      <c r="H642" s="133"/>
      <c r="I642" s="21">
        <v>18.600000000000001</v>
      </c>
      <c r="J642" s="111" t="s">
        <v>24</v>
      </c>
      <c r="L642" s="116">
        <v>5.8370682980533999E-6</v>
      </c>
      <c r="M642" s="111" t="s">
        <v>24</v>
      </c>
      <c r="N642" s="22">
        <v>1.358699902153E-4</v>
      </c>
    </row>
    <row r="643" spans="7:14" x14ac:dyDescent="0.45">
      <c r="G643" s="115">
        <v>1.7511204894160201E-5</v>
      </c>
      <c r="H643" s="133"/>
      <c r="I643" s="21">
        <v>15.8</v>
      </c>
      <c r="J643" s="111" t="s">
        <v>24</v>
      </c>
      <c r="L643" s="116">
        <v>1.7511204894160201E-5</v>
      </c>
      <c r="M643" s="111" t="s">
        <v>24</v>
      </c>
      <c r="N643" s="22">
        <v>4.2889407083793998E-4</v>
      </c>
    </row>
    <row r="644" spans="7:14" x14ac:dyDescent="0.45">
      <c r="G644" s="115">
        <v>4.3778012235400498E-5</v>
      </c>
      <c r="H644" s="133"/>
      <c r="I644" s="21">
        <v>13.4</v>
      </c>
      <c r="J644" s="111" t="s">
        <v>24</v>
      </c>
      <c r="L644" s="116">
        <v>4.3778012235400498E-5</v>
      </c>
      <c r="M644" s="111" t="s">
        <v>24</v>
      </c>
      <c r="N644" s="22">
        <v>1.1158297127758701E-3</v>
      </c>
    </row>
    <row r="645" spans="7:14" x14ac:dyDescent="0.45">
      <c r="G645" s="115">
        <v>9.2420248052512097E-5</v>
      </c>
      <c r="H645" s="133"/>
      <c r="I645" s="21">
        <v>11.4</v>
      </c>
      <c r="J645" s="111" t="s">
        <v>24</v>
      </c>
      <c r="L645" s="116">
        <v>9.2420248052512097E-5</v>
      </c>
      <c r="M645" s="111" t="s">
        <v>24</v>
      </c>
      <c r="N645" s="22">
        <v>2.4296770921707002E-3</v>
      </c>
    </row>
    <row r="646" spans="7:14" x14ac:dyDescent="0.45">
      <c r="G646" s="115">
        <v>1.6635644649452201E-4</v>
      </c>
      <c r="H646" s="133"/>
      <c r="I646" s="21">
        <v>9.8000000000000007</v>
      </c>
      <c r="J646" s="111" t="s">
        <v>24</v>
      </c>
      <c r="L646" s="116">
        <v>1.6635644649452201E-4</v>
      </c>
      <c r="M646" s="111" t="s">
        <v>24</v>
      </c>
      <c r="N646" s="22">
        <v>4.4771801788977697E-3</v>
      </c>
    </row>
    <row r="647" spans="7:14" x14ac:dyDescent="0.45">
      <c r="G647" s="115">
        <v>2.5709632640062501E-4</v>
      </c>
      <c r="H647" s="133"/>
      <c r="I647" s="21">
        <v>8.6</v>
      </c>
      <c r="J647" s="111" t="s">
        <v>24</v>
      </c>
      <c r="L647" s="116">
        <v>2.5709632640062501E-4</v>
      </c>
      <c r="M647" s="111" t="s">
        <v>24</v>
      </c>
      <c r="N647" s="22">
        <v>7.0371527270489198E-3</v>
      </c>
    </row>
    <row r="648" spans="7:14" x14ac:dyDescent="0.45">
      <c r="G648" s="115">
        <v>3.4279510186750002E-4</v>
      </c>
      <c r="H648" s="133"/>
      <c r="I648" s="21">
        <v>7.8</v>
      </c>
      <c r="J648" s="111" t="s">
        <v>24</v>
      </c>
      <c r="L648" s="116">
        <v>3.4279510186750002E-4</v>
      </c>
      <c r="M648" s="111" t="s">
        <v>24</v>
      </c>
      <c r="N648" s="22">
        <v>9.48620263597434E-3</v>
      </c>
    </row>
    <row r="649" spans="7:14" x14ac:dyDescent="0.45">
      <c r="G649" s="115">
        <v>3.9553280984711502E-4</v>
      </c>
      <c r="H649" s="133"/>
      <c r="I649" s="21">
        <v>7.4</v>
      </c>
      <c r="J649" s="111" t="s">
        <v>24</v>
      </c>
      <c r="L649" s="116">
        <v>3.9553280984711502E-4</v>
      </c>
      <c r="M649" s="111" t="s">
        <v>24</v>
      </c>
      <c r="N649" s="22">
        <v>1.1004749377263499E-2</v>
      </c>
    </row>
    <row r="650" spans="7:14" x14ac:dyDescent="0.45">
      <c r="G650" s="115">
        <v>3.9553280984711502E-4</v>
      </c>
      <c r="H650" s="133"/>
      <c r="I650" s="21">
        <v>7.4</v>
      </c>
      <c r="J650" s="111" t="s">
        <v>24</v>
      </c>
      <c r="L650" s="116">
        <v>3.9553280984711502E-4</v>
      </c>
      <c r="M650" s="111" t="s">
        <v>24</v>
      </c>
      <c r="N650" s="22">
        <v>1.1004749377263499E-2</v>
      </c>
    </row>
    <row r="651" spans="7:14" x14ac:dyDescent="0.45">
      <c r="G651" s="115">
        <v>3.4279510186750002E-4</v>
      </c>
      <c r="H651" s="133"/>
      <c r="I651" s="21">
        <v>7.8</v>
      </c>
      <c r="J651" s="111" t="s">
        <v>24</v>
      </c>
      <c r="L651" s="116">
        <v>3.4279510186750002E-4</v>
      </c>
      <c r="M651" s="111" t="s">
        <v>24</v>
      </c>
      <c r="N651" s="22">
        <v>9.48620263597434E-3</v>
      </c>
    </row>
    <row r="652" spans="7:14" x14ac:dyDescent="0.45">
      <c r="G652" s="115">
        <v>2.5709632640062501E-4</v>
      </c>
      <c r="H652" s="133"/>
      <c r="I652" s="21">
        <v>8.6</v>
      </c>
      <c r="J652" s="111" t="s">
        <v>24</v>
      </c>
      <c r="L652" s="116">
        <v>2.5709632640062501E-4</v>
      </c>
      <c r="M652" s="111" t="s">
        <v>24</v>
      </c>
      <c r="N652" s="22">
        <v>7.0371527270489198E-3</v>
      </c>
    </row>
    <row r="653" spans="7:14" x14ac:dyDescent="0.45">
      <c r="G653" s="115">
        <v>1.6635644649452201E-4</v>
      </c>
      <c r="H653" s="133"/>
      <c r="I653" s="21">
        <v>9.8000000000000007</v>
      </c>
      <c r="J653" s="111" t="s">
        <v>24</v>
      </c>
      <c r="L653" s="116">
        <v>1.6635644649452201E-4</v>
      </c>
      <c r="M653" s="111" t="s">
        <v>24</v>
      </c>
      <c r="N653" s="22">
        <v>4.4771801788977697E-3</v>
      </c>
    </row>
    <row r="654" spans="7:14" x14ac:dyDescent="0.45">
      <c r="G654" s="115">
        <v>9.2420248052512097E-5</v>
      </c>
      <c r="H654" s="133"/>
      <c r="I654" s="21">
        <v>11.4</v>
      </c>
      <c r="J654" s="111" t="s">
        <v>24</v>
      </c>
      <c r="L654" s="116">
        <v>9.2420248052512097E-5</v>
      </c>
      <c r="M654" s="111" t="s">
        <v>24</v>
      </c>
      <c r="N654" s="22">
        <v>2.4296770921707002E-3</v>
      </c>
    </row>
    <row r="655" spans="7:14" x14ac:dyDescent="0.45">
      <c r="G655" s="115">
        <v>4.3778012235400498E-5</v>
      </c>
      <c r="H655" s="133"/>
      <c r="I655" s="21">
        <v>13.4</v>
      </c>
      <c r="J655" s="111" t="s">
        <v>24</v>
      </c>
      <c r="L655" s="116">
        <v>4.3778012235400498E-5</v>
      </c>
      <c r="M655" s="111" t="s">
        <v>24</v>
      </c>
      <c r="N655" s="22">
        <v>1.1158297127758701E-3</v>
      </c>
    </row>
    <row r="656" spans="7:14" x14ac:dyDescent="0.45">
      <c r="G656" s="115">
        <v>1.7511204894160201E-5</v>
      </c>
      <c r="H656" s="133"/>
      <c r="I656" s="21">
        <v>15.8</v>
      </c>
      <c r="J656" s="111" t="s">
        <v>24</v>
      </c>
      <c r="L656" s="116">
        <v>1.7511204894160201E-5</v>
      </c>
      <c r="M656" s="111" t="s">
        <v>24</v>
      </c>
      <c r="N656" s="22">
        <v>4.2889407083793998E-4</v>
      </c>
    </row>
    <row r="657" spans="7:14" x14ac:dyDescent="0.45">
      <c r="G657" s="115">
        <v>5.8370682980533999E-6</v>
      </c>
      <c r="H657" s="133"/>
      <c r="I657" s="21">
        <v>18.600000000000001</v>
      </c>
      <c r="J657" s="111" t="s">
        <v>24</v>
      </c>
      <c r="L657" s="116">
        <v>5.8370682980533999E-6</v>
      </c>
      <c r="M657" s="111" t="s">
        <v>24</v>
      </c>
      <c r="N657" s="22">
        <v>1.358699902153E-4</v>
      </c>
    </row>
    <row r="658" spans="7:14" x14ac:dyDescent="0.45">
      <c r="G658" s="115">
        <v>1.59192771765093E-6</v>
      </c>
      <c r="H658" s="133"/>
      <c r="I658" s="21">
        <v>21.8</v>
      </c>
      <c r="J658" s="111" t="s">
        <v>24</v>
      </c>
      <c r="L658" s="116">
        <v>1.59192771765093E-6</v>
      </c>
      <c r="M658" s="111" t="s">
        <v>24</v>
      </c>
      <c r="N658" s="22">
        <v>3.4712607369219998E-5</v>
      </c>
    </row>
    <row r="659" spans="7:14" x14ac:dyDescent="0.45">
      <c r="G659" s="115">
        <v>3.4607124296759298E-7</v>
      </c>
      <c r="H659" s="133"/>
      <c r="I659" s="21">
        <v>25.4</v>
      </c>
      <c r="J659" s="111" t="s">
        <v>24</v>
      </c>
      <c r="L659" s="116">
        <v>3.4607124296759298E-7</v>
      </c>
      <c r="M659" s="111" t="s">
        <v>24</v>
      </c>
      <c r="N659" s="22">
        <v>6.9287683555299997E-6</v>
      </c>
    </row>
    <row r="660" spans="7:14" x14ac:dyDescent="0.45">
      <c r="G660" s="115">
        <v>5.7678540494598799E-8</v>
      </c>
      <c r="H660" s="133"/>
      <c r="I660" s="21">
        <v>29.4</v>
      </c>
      <c r="J660" s="111" t="s">
        <v>24</v>
      </c>
      <c r="L660" s="116">
        <v>5.7678540494598799E-8</v>
      </c>
      <c r="M660" s="111" t="s">
        <v>24</v>
      </c>
      <c r="N660" s="22">
        <v>1.02849615066E-6</v>
      </c>
    </row>
    <row r="661" spans="7:14" x14ac:dyDescent="0.45">
      <c r="G661" s="115">
        <v>6.9214248593518502E-9</v>
      </c>
      <c r="H661" s="133"/>
      <c r="I661" s="21">
        <v>33.799999999999997</v>
      </c>
      <c r="J661" s="111" t="s">
        <v>24</v>
      </c>
      <c r="L661" s="116">
        <v>6.9214248593518502E-9</v>
      </c>
      <c r="M661" s="111" t="s">
        <v>24</v>
      </c>
      <c r="N661" s="22">
        <v>1.0424999137E-7</v>
      </c>
    </row>
    <row r="662" spans="7:14" x14ac:dyDescent="0.45">
      <c r="G662" s="115">
        <v>5.3241729687322004E-10</v>
      </c>
      <c r="H662" s="133"/>
      <c r="I662" s="21">
        <v>38.6</v>
      </c>
      <c r="J662" s="111" t="s">
        <v>24</v>
      </c>
      <c r="L662" s="116">
        <v>5.3241729687322004E-10</v>
      </c>
      <c r="M662" s="111" t="s">
        <v>24</v>
      </c>
      <c r="N662" s="22">
        <v>6.0162959099999998E-9</v>
      </c>
    </row>
    <row r="663" spans="7:14" x14ac:dyDescent="0.45">
      <c r="G663" s="115">
        <v>1.9719159143452599E-11</v>
      </c>
      <c r="H663" s="133"/>
      <c r="I663" s="21">
        <v>43.8</v>
      </c>
      <c r="J663" s="111" t="s">
        <v>24</v>
      </c>
      <c r="L663" s="116">
        <v>1.9719159143452599E-11</v>
      </c>
      <c r="M663" s="111" t="s">
        <v>24</v>
      </c>
      <c r="N663" s="22">
        <v>8.3524640000000003E-11</v>
      </c>
    </row>
    <row r="664" spans="7:14" x14ac:dyDescent="0.45">
      <c r="G664" s="115">
        <v>1.3310432421830501E-10</v>
      </c>
      <c r="H664" s="133"/>
      <c r="I664" s="21">
        <v>39.200000000000003</v>
      </c>
      <c r="J664" s="111" t="s">
        <v>24</v>
      </c>
      <c r="L664" s="116">
        <v>1.3310432421830501E-10</v>
      </c>
      <c r="M664" s="111" t="s">
        <v>24</v>
      </c>
      <c r="N664" s="22">
        <v>6.3453120999999999E-10</v>
      </c>
    </row>
    <row r="665" spans="7:14" x14ac:dyDescent="0.45">
      <c r="G665" s="115">
        <v>3.4607124296759301E-9</v>
      </c>
      <c r="H665" s="133"/>
      <c r="I665" s="21">
        <v>34.200000000000003</v>
      </c>
      <c r="J665" s="111" t="s">
        <v>24</v>
      </c>
      <c r="L665" s="116">
        <v>3.4607124296759301E-9</v>
      </c>
      <c r="M665" s="111" t="s">
        <v>24</v>
      </c>
      <c r="N665" s="22">
        <v>4.398046511E-8</v>
      </c>
    </row>
    <row r="666" spans="7:14" x14ac:dyDescent="0.45">
      <c r="G666" s="115">
        <v>4.3258905370949103E-8</v>
      </c>
      <c r="H666" s="133"/>
      <c r="I666" s="21">
        <v>29.6</v>
      </c>
      <c r="J666" s="111" t="s">
        <v>24</v>
      </c>
      <c r="L666" s="116">
        <v>4.3258905370949103E-8</v>
      </c>
      <c r="M666" s="111" t="s">
        <v>24</v>
      </c>
      <c r="N666" s="22">
        <v>7.3220087288000004E-7</v>
      </c>
    </row>
    <row r="667" spans="7:14" x14ac:dyDescent="0.45">
      <c r="G667" s="115">
        <v>3.4607124296759298E-7</v>
      </c>
      <c r="H667" s="133"/>
      <c r="I667" s="21">
        <v>25.4</v>
      </c>
      <c r="J667" s="111" t="s">
        <v>24</v>
      </c>
      <c r="L667" s="116">
        <v>3.4607124296759298E-7</v>
      </c>
      <c r="M667" s="111" t="s">
        <v>24</v>
      </c>
      <c r="N667" s="22">
        <v>6.9287683555299997E-6</v>
      </c>
    </row>
    <row r="668" spans="7:14" x14ac:dyDescent="0.45">
      <c r="G668" s="115">
        <v>1.9899096470636602E-6</v>
      </c>
      <c r="H668" s="133"/>
      <c r="I668" s="21">
        <v>21.6</v>
      </c>
      <c r="J668" s="111" t="s">
        <v>24</v>
      </c>
      <c r="L668" s="116">
        <v>1.9899096470636602E-6</v>
      </c>
      <c r="M668" s="111" t="s">
        <v>24</v>
      </c>
      <c r="N668" s="22">
        <v>4.4691104839759998E-5</v>
      </c>
    </row>
    <row r="669" spans="7:14" x14ac:dyDescent="0.45">
      <c r="G669" s="115">
        <v>8.7556024470801003E-6</v>
      </c>
      <c r="H669" s="133"/>
      <c r="I669" s="21">
        <v>18.2</v>
      </c>
      <c r="J669" s="111" t="s">
        <v>24</v>
      </c>
      <c r="L669" s="116">
        <v>8.7556024470801003E-6</v>
      </c>
      <c r="M669" s="111" t="s">
        <v>24</v>
      </c>
      <c r="N669" s="22">
        <v>2.1394632139263E-4</v>
      </c>
    </row>
    <row r="670" spans="7:14" x14ac:dyDescent="0.45">
      <c r="G670" s="115">
        <v>3.0644608564780302E-5</v>
      </c>
      <c r="H670" s="133"/>
      <c r="I670" s="21">
        <v>15.2</v>
      </c>
      <c r="J670" s="111" t="s">
        <v>24</v>
      </c>
      <c r="L670" s="116">
        <v>3.0644608564780302E-5</v>
      </c>
      <c r="M670" s="111" t="s">
        <v>24</v>
      </c>
      <c r="N670" s="22">
        <v>7.9845899744124997E-4</v>
      </c>
    </row>
    <row r="671" spans="7:14" x14ac:dyDescent="0.45">
      <c r="G671" s="115">
        <v>8.7556024470800996E-5</v>
      </c>
      <c r="H671" s="133"/>
      <c r="I671" s="21">
        <v>12.6</v>
      </c>
      <c r="J671" s="111" t="s">
        <v>24</v>
      </c>
      <c r="L671" s="116">
        <v>8.7556024470800996E-5</v>
      </c>
      <c r="M671" s="111" t="s">
        <v>24</v>
      </c>
      <c r="N671" s="22">
        <v>2.3974818965432801E-3</v>
      </c>
    </row>
    <row r="672" spans="7:14" x14ac:dyDescent="0.45">
      <c r="G672" s="115">
        <v>2.07945558118152E-4</v>
      </c>
      <c r="H672" s="133"/>
      <c r="I672" s="21">
        <v>10.4</v>
      </c>
      <c r="J672" s="111" t="s">
        <v>24</v>
      </c>
      <c r="L672" s="116">
        <v>2.07945558118152E-4</v>
      </c>
      <c r="M672" s="111" t="s">
        <v>24</v>
      </c>
      <c r="N672" s="22">
        <v>5.9174561298786302E-3</v>
      </c>
    </row>
    <row r="673" spans="7:14" x14ac:dyDescent="0.45">
      <c r="G673" s="115">
        <v>4.1589111623630502E-4</v>
      </c>
      <c r="H673" s="133"/>
      <c r="I673" s="21">
        <v>8.6</v>
      </c>
      <c r="J673" s="111" t="s">
        <v>24</v>
      </c>
      <c r="L673" s="116">
        <v>4.1589111623630502E-4</v>
      </c>
      <c r="M673" s="111" t="s">
        <v>24</v>
      </c>
      <c r="N673" s="22">
        <v>1.21883743994015E-2</v>
      </c>
    </row>
    <row r="674" spans="7:14" x14ac:dyDescent="0.45">
      <c r="G674" s="115">
        <v>7.0701489760171795E-4</v>
      </c>
      <c r="H674" s="133"/>
      <c r="I674" s="21">
        <v>7.2</v>
      </c>
      <c r="J674" s="111" t="s">
        <v>24</v>
      </c>
      <c r="L674" s="116">
        <v>7.0701489760171795E-4</v>
      </c>
      <c r="M674" s="111" t="s">
        <v>24</v>
      </c>
      <c r="N674" s="22">
        <v>2.1175823681357502E-2</v>
      </c>
    </row>
    <row r="675" spans="7:14" x14ac:dyDescent="0.45">
      <c r="G675" s="115">
        <v>1.0283853056025001E-3</v>
      </c>
      <c r="H675" s="133"/>
      <c r="I675" s="21">
        <v>6.2</v>
      </c>
      <c r="J675" s="111" t="s">
        <v>24</v>
      </c>
      <c r="L675" s="116">
        <v>1.0283853056025001E-3</v>
      </c>
      <c r="M675" s="111" t="s">
        <v>24</v>
      </c>
      <c r="N675" s="22">
        <v>3.1265948781756099E-2</v>
      </c>
    </row>
    <row r="676" spans="7:14" x14ac:dyDescent="0.45">
      <c r="G676" s="115">
        <v>1.28548163200312E-3</v>
      </c>
      <c r="H676" s="133"/>
      <c r="I676" s="21">
        <v>5.6</v>
      </c>
      <c r="J676" s="111" t="s">
        <v>24</v>
      </c>
      <c r="L676" s="116">
        <v>1.28548163200312E-3</v>
      </c>
      <c r="M676" s="111" t="s">
        <v>24</v>
      </c>
      <c r="N676" s="22">
        <v>3.9426895576119399E-2</v>
      </c>
    </row>
    <row r="677" spans="7:14" x14ac:dyDescent="0.45">
      <c r="G677" s="115">
        <v>1.3843648344649001E-3</v>
      </c>
      <c r="H677" s="133"/>
      <c r="I677" s="21">
        <v>5.4</v>
      </c>
      <c r="J677" s="111" t="s">
        <v>24</v>
      </c>
      <c r="L677" s="116">
        <v>1.3843648344649001E-3</v>
      </c>
      <c r="M677" s="111" t="s">
        <v>24</v>
      </c>
      <c r="N677" s="22">
        <v>4.2582668608782702E-2</v>
      </c>
    </row>
    <row r="678" spans="7:14" x14ac:dyDescent="0.45">
      <c r="G678" s="115">
        <v>1.28548163200312E-3</v>
      </c>
      <c r="H678" s="133"/>
      <c r="I678" s="21">
        <v>5.6</v>
      </c>
      <c r="J678" s="111" t="s">
        <v>24</v>
      </c>
      <c r="L678" s="116">
        <v>1.28548163200312E-3</v>
      </c>
      <c r="M678" s="111" t="s">
        <v>24</v>
      </c>
      <c r="N678" s="22">
        <v>3.9426895576119399E-2</v>
      </c>
    </row>
    <row r="679" spans="7:14" x14ac:dyDescent="0.45">
      <c r="G679" s="115">
        <v>1.0283853056025001E-3</v>
      </c>
      <c r="H679" s="133"/>
      <c r="I679" s="21">
        <v>6.2</v>
      </c>
      <c r="J679" s="111" t="s">
        <v>24</v>
      </c>
      <c r="L679" s="116">
        <v>1.0283853056025001E-3</v>
      </c>
      <c r="M679" s="111" t="s">
        <v>24</v>
      </c>
      <c r="N679" s="22">
        <v>3.1265948781756099E-2</v>
      </c>
    </row>
    <row r="680" spans="7:14" x14ac:dyDescent="0.45">
      <c r="G680" s="115">
        <v>7.0701489760171795E-4</v>
      </c>
      <c r="H680" s="133"/>
      <c r="I680" s="21">
        <v>7.2</v>
      </c>
      <c r="J680" s="111" t="s">
        <v>24</v>
      </c>
      <c r="L680" s="116">
        <v>7.0701489760171795E-4</v>
      </c>
      <c r="M680" s="111" t="s">
        <v>24</v>
      </c>
      <c r="N680" s="22">
        <v>2.1175823681357502E-2</v>
      </c>
    </row>
    <row r="681" spans="7:14" x14ac:dyDescent="0.45">
      <c r="G681" s="115">
        <v>4.1589111623630502E-4</v>
      </c>
      <c r="H681" s="133"/>
      <c r="I681" s="21">
        <v>8.6</v>
      </c>
      <c r="J681" s="111" t="s">
        <v>24</v>
      </c>
      <c r="L681" s="116">
        <v>4.1589111623630502E-4</v>
      </c>
      <c r="M681" s="111" t="s">
        <v>24</v>
      </c>
      <c r="N681" s="22">
        <v>1.21883743994015E-2</v>
      </c>
    </row>
    <row r="682" spans="7:14" x14ac:dyDescent="0.45">
      <c r="G682" s="115">
        <v>2.07945558118152E-4</v>
      </c>
      <c r="H682" s="133"/>
      <c r="I682" s="21">
        <v>10.4</v>
      </c>
      <c r="J682" s="111" t="s">
        <v>24</v>
      </c>
      <c r="L682" s="116">
        <v>2.07945558118152E-4</v>
      </c>
      <c r="M682" s="111" t="s">
        <v>24</v>
      </c>
      <c r="N682" s="22">
        <v>5.9174561298786302E-3</v>
      </c>
    </row>
    <row r="683" spans="7:14" x14ac:dyDescent="0.45">
      <c r="G683" s="115">
        <v>8.7556024470800996E-5</v>
      </c>
      <c r="H683" s="133"/>
      <c r="I683" s="21">
        <v>12.6</v>
      </c>
      <c r="J683" s="111" t="s">
        <v>24</v>
      </c>
      <c r="L683" s="116">
        <v>8.7556024470800996E-5</v>
      </c>
      <c r="M683" s="111" t="s">
        <v>24</v>
      </c>
      <c r="N683" s="22">
        <v>2.3974818965432801E-3</v>
      </c>
    </row>
    <row r="684" spans="7:14" x14ac:dyDescent="0.45">
      <c r="G684" s="115">
        <v>3.0644608564780302E-5</v>
      </c>
      <c r="H684" s="133"/>
      <c r="I684" s="21">
        <v>15.2</v>
      </c>
      <c r="J684" s="111" t="s">
        <v>24</v>
      </c>
      <c r="L684" s="116">
        <v>3.0644608564780302E-5</v>
      </c>
      <c r="M684" s="111" t="s">
        <v>24</v>
      </c>
      <c r="N684" s="22">
        <v>7.9845899744124997E-4</v>
      </c>
    </row>
    <row r="685" spans="7:14" x14ac:dyDescent="0.45">
      <c r="G685" s="115">
        <v>8.7556024470801003E-6</v>
      </c>
      <c r="H685" s="133"/>
      <c r="I685" s="21">
        <v>18.2</v>
      </c>
      <c r="J685" s="111" t="s">
        <v>24</v>
      </c>
      <c r="L685" s="116">
        <v>8.7556024470801003E-6</v>
      </c>
      <c r="M685" s="111" t="s">
        <v>24</v>
      </c>
      <c r="N685" s="22">
        <v>2.1394632139263E-4</v>
      </c>
    </row>
    <row r="686" spans="7:14" x14ac:dyDescent="0.45">
      <c r="G686" s="115">
        <v>1.9899096470636602E-6</v>
      </c>
      <c r="H686" s="133"/>
      <c r="I686" s="21">
        <v>21.6</v>
      </c>
      <c r="J686" s="111" t="s">
        <v>24</v>
      </c>
      <c r="L686" s="116">
        <v>1.9899096470636602E-6</v>
      </c>
      <c r="M686" s="111" t="s">
        <v>24</v>
      </c>
      <c r="N686" s="22">
        <v>4.4691104839759998E-5</v>
      </c>
    </row>
    <row r="687" spans="7:14" x14ac:dyDescent="0.45">
      <c r="G687" s="115">
        <v>3.4607124296759298E-7</v>
      </c>
      <c r="H687" s="133"/>
      <c r="I687" s="21">
        <v>25.4</v>
      </c>
      <c r="J687" s="111" t="s">
        <v>24</v>
      </c>
      <c r="L687" s="116">
        <v>3.4607124296759298E-7</v>
      </c>
      <c r="M687" s="111" t="s">
        <v>24</v>
      </c>
      <c r="N687" s="22">
        <v>6.9287683555299997E-6</v>
      </c>
    </row>
    <row r="688" spans="7:14" x14ac:dyDescent="0.45">
      <c r="G688" s="115">
        <v>4.3258905370949103E-8</v>
      </c>
      <c r="H688" s="133"/>
      <c r="I688" s="21">
        <v>29.6</v>
      </c>
      <c r="J688" s="111" t="s">
        <v>24</v>
      </c>
      <c r="L688" s="116">
        <v>4.3258905370949103E-8</v>
      </c>
      <c r="M688" s="111" t="s">
        <v>24</v>
      </c>
      <c r="N688" s="22">
        <v>7.3220087288000004E-7</v>
      </c>
    </row>
    <row r="689" spans="7:14" x14ac:dyDescent="0.45">
      <c r="G689" s="115">
        <v>3.4607124296759301E-9</v>
      </c>
      <c r="H689" s="133"/>
      <c r="I689" s="21">
        <v>34.200000000000003</v>
      </c>
      <c r="J689" s="111" t="s">
        <v>24</v>
      </c>
      <c r="L689" s="116">
        <v>3.4607124296759301E-9</v>
      </c>
      <c r="M689" s="111" t="s">
        <v>24</v>
      </c>
      <c r="N689" s="22">
        <v>4.398046511E-8</v>
      </c>
    </row>
    <row r="690" spans="7:14" x14ac:dyDescent="0.45">
      <c r="G690" s="115">
        <v>1.3310432421830501E-10</v>
      </c>
      <c r="H690" s="133"/>
      <c r="I690" s="21">
        <v>39.200000000000003</v>
      </c>
      <c r="J690" s="111" t="s">
        <v>24</v>
      </c>
      <c r="L690" s="116">
        <v>1.3310432421830501E-10</v>
      </c>
      <c r="M690" s="111" t="s">
        <v>24</v>
      </c>
      <c r="N690" s="22">
        <v>6.3453120999999999E-10</v>
      </c>
    </row>
    <row r="691" spans="7:14" x14ac:dyDescent="0.45">
      <c r="G691" s="115">
        <v>6.9214248593518502E-10</v>
      </c>
      <c r="H691" s="133"/>
      <c r="I691" s="21">
        <v>35</v>
      </c>
      <c r="J691" s="111" t="s">
        <v>24</v>
      </c>
      <c r="L691" s="116">
        <v>6.9214248593518502E-10</v>
      </c>
      <c r="M691" s="111" t="s">
        <v>24</v>
      </c>
      <c r="N691" s="22">
        <v>3.6028797000000002E-9</v>
      </c>
    </row>
    <row r="692" spans="7:14" x14ac:dyDescent="0.45">
      <c r="G692" s="115">
        <v>1.7303562148379599E-8</v>
      </c>
      <c r="H692" s="133"/>
      <c r="I692" s="21">
        <v>30.2</v>
      </c>
      <c r="J692" s="111" t="s">
        <v>24</v>
      </c>
      <c r="L692" s="116">
        <v>1.7303562148379599E-8</v>
      </c>
      <c r="M692" s="111" t="s">
        <v>24</v>
      </c>
      <c r="N692" s="22">
        <v>2.3992758203000002E-7</v>
      </c>
    </row>
    <row r="693" spans="7:14" x14ac:dyDescent="0.45">
      <c r="G693" s="115">
        <v>2.07642745780556E-7</v>
      </c>
      <c r="H693" s="133"/>
      <c r="I693" s="21">
        <v>25.8</v>
      </c>
      <c r="J693" s="111" t="s">
        <v>24</v>
      </c>
      <c r="L693" s="116">
        <v>2.07642745780556E-7</v>
      </c>
      <c r="M693" s="111" t="s">
        <v>24</v>
      </c>
      <c r="N693" s="22">
        <v>3.8313317498700002E-6</v>
      </c>
    </row>
    <row r="694" spans="7:14" x14ac:dyDescent="0.45">
      <c r="G694" s="115">
        <v>1.59192771765093E-6</v>
      </c>
      <c r="H694" s="133"/>
      <c r="I694" s="21">
        <v>21.8</v>
      </c>
      <c r="J694" s="111" t="s">
        <v>24</v>
      </c>
      <c r="L694" s="116">
        <v>1.59192771765093E-6</v>
      </c>
      <c r="M694" s="111" t="s">
        <v>24</v>
      </c>
      <c r="N694" s="22">
        <v>3.4712607369219998E-5</v>
      </c>
    </row>
    <row r="695" spans="7:14" x14ac:dyDescent="0.45">
      <c r="G695" s="115">
        <v>8.7556024470801003E-6</v>
      </c>
      <c r="H695" s="133"/>
      <c r="I695" s="21">
        <v>18.2</v>
      </c>
      <c r="J695" s="111" t="s">
        <v>24</v>
      </c>
      <c r="L695" s="116">
        <v>8.7556024470801003E-6</v>
      </c>
      <c r="M695" s="111" t="s">
        <v>24</v>
      </c>
      <c r="N695" s="22">
        <v>2.1394632139263E-4</v>
      </c>
    </row>
    <row r="696" spans="7:14" x14ac:dyDescent="0.45">
      <c r="G696" s="115">
        <v>3.6773530277736403E-5</v>
      </c>
      <c r="H696" s="133"/>
      <c r="I696" s="21">
        <v>15</v>
      </c>
      <c r="J696" s="111" t="s">
        <v>24</v>
      </c>
      <c r="L696" s="116">
        <v>3.6773530277736403E-5</v>
      </c>
      <c r="M696" s="111" t="s">
        <v>24</v>
      </c>
      <c r="N696" s="22">
        <v>9.765625E-4</v>
      </c>
    </row>
    <row r="697" spans="7:14" x14ac:dyDescent="0.45">
      <c r="G697" s="115">
        <v>1.2257843425912099E-4</v>
      </c>
      <c r="H697" s="133"/>
      <c r="I697" s="21">
        <v>12.2</v>
      </c>
      <c r="J697" s="111" t="s">
        <v>24</v>
      </c>
      <c r="L697" s="116">
        <v>1.2257843425912099E-4</v>
      </c>
      <c r="M697" s="111" t="s">
        <v>24</v>
      </c>
      <c r="N697" s="22">
        <v>3.4667622426775399E-3</v>
      </c>
    </row>
    <row r="698" spans="7:14" x14ac:dyDescent="0.45">
      <c r="G698" s="115">
        <v>3.3271289298904402E-4</v>
      </c>
      <c r="H698" s="133"/>
      <c r="I698" s="21">
        <v>9.8000000000000007</v>
      </c>
      <c r="J698" s="111" t="s">
        <v>24</v>
      </c>
      <c r="L698" s="116">
        <v>3.3271289298904402E-4</v>
      </c>
      <c r="M698" s="111" t="s">
        <v>24</v>
      </c>
      <c r="N698" s="22">
        <v>9.8754889265890294E-3</v>
      </c>
    </row>
    <row r="699" spans="7:14" x14ac:dyDescent="0.45">
      <c r="G699" s="115">
        <v>7.4860400922534796E-4</v>
      </c>
      <c r="H699" s="133"/>
      <c r="I699" s="21">
        <v>7.8</v>
      </c>
      <c r="J699" s="111" t="s">
        <v>24</v>
      </c>
      <c r="L699" s="116">
        <v>7.4860400922534796E-4</v>
      </c>
      <c r="M699" s="111" t="s">
        <v>24</v>
      </c>
      <c r="N699" s="22">
        <v>2.30567674313048E-2</v>
      </c>
    </row>
    <row r="700" spans="7:14" x14ac:dyDescent="0.45">
      <c r="G700" s="115">
        <v>1.41402979520344E-3</v>
      </c>
      <c r="H700" s="133"/>
      <c r="I700" s="21">
        <v>6.2</v>
      </c>
      <c r="J700" s="111" t="s">
        <v>24</v>
      </c>
      <c r="L700" s="116">
        <v>1.41402979520344E-3</v>
      </c>
      <c r="M700" s="111" t="s">
        <v>24</v>
      </c>
      <c r="N700" s="22">
        <v>4.4776245067844202E-2</v>
      </c>
    </row>
    <row r="701" spans="7:14" x14ac:dyDescent="0.45">
      <c r="G701" s="115">
        <v>2.2624476723254999E-3</v>
      </c>
      <c r="H701" s="133"/>
      <c r="I701" s="21">
        <v>5</v>
      </c>
      <c r="J701" s="111" t="s">
        <v>24</v>
      </c>
      <c r="L701" s="116">
        <v>2.2624476723254999E-3</v>
      </c>
      <c r="M701" s="111" t="s">
        <v>24</v>
      </c>
      <c r="N701" s="22">
        <v>7.3077064336677294E-2</v>
      </c>
    </row>
    <row r="702" spans="7:14" x14ac:dyDescent="0.45">
      <c r="G702" s="115">
        <v>3.0851559168075002E-3</v>
      </c>
      <c r="H702" s="133"/>
      <c r="I702" s="21">
        <v>4.2</v>
      </c>
      <c r="J702" s="111" t="s">
        <v>24</v>
      </c>
      <c r="L702" s="116">
        <v>3.0851559168075002E-3</v>
      </c>
      <c r="M702" s="111" t="s">
        <v>24</v>
      </c>
      <c r="N702" s="22">
        <v>0.100934106318291</v>
      </c>
    </row>
    <row r="703" spans="7:14" x14ac:dyDescent="0.45">
      <c r="G703" s="115">
        <v>3.59934856960874E-3</v>
      </c>
      <c r="H703" s="133"/>
      <c r="I703" s="21">
        <v>3.8</v>
      </c>
      <c r="J703" s="111" t="s">
        <v>24</v>
      </c>
      <c r="L703" s="116">
        <v>3.59934856960874E-3</v>
      </c>
      <c r="M703" s="111" t="s">
        <v>24</v>
      </c>
      <c r="N703" s="22">
        <v>0.118498116054793</v>
      </c>
    </row>
    <row r="704" spans="7:14" x14ac:dyDescent="0.45">
      <c r="G704" s="115">
        <v>3.59934856960874E-3</v>
      </c>
      <c r="H704" s="133"/>
      <c r="I704" s="21">
        <v>3.8</v>
      </c>
      <c r="J704" s="111" t="s">
        <v>24</v>
      </c>
      <c r="L704" s="116">
        <v>3.59934856960874E-3</v>
      </c>
      <c r="M704" s="111" t="s">
        <v>24</v>
      </c>
      <c r="N704" s="22">
        <v>0.118498116054793</v>
      </c>
    </row>
    <row r="705" spans="7:14" x14ac:dyDescent="0.45">
      <c r="G705" s="115">
        <v>3.0851559168075002E-3</v>
      </c>
      <c r="H705" s="133"/>
      <c r="I705" s="21">
        <v>4.2</v>
      </c>
      <c r="J705" s="111" t="s">
        <v>24</v>
      </c>
      <c r="L705" s="116">
        <v>3.0851559168075002E-3</v>
      </c>
      <c r="M705" s="111" t="s">
        <v>24</v>
      </c>
      <c r="N705" s="22">
        <v>0.100934106318291</v>
      </c>
    </row>
    <row r="706" spans="7:14" x14ac:dyDescent="0.45">
      <c r="G706" s="115">
        <v>2.2624476723254999E-3</v>
      </c>
      <c r="H706" s="133"/>
      <c r="I706" s="21">
        <v>5</v>
      </c>
      <c r="J706" s="111" t="s">
        <v>24</v>
      </c>
      <c r="L706" s="116">
        <v>2.2624476723254999E-3</v>
      </c>
      <c r="M706" s="111" t="s">
        <v>24</v>
      </c>
      <c r="N706" s="22">
        <v>7.3077064336677294E-2</v>
      </c>
    </row>
    <row r="707" spans="7:14" x14ac:dyDescent="0.45">
      <c r="G707" s="115">
        <v>1.41402979520344E-3</v>
      </c>
      <c r="H707" s="133"/>
      <c r="I707" s="21">
        <v>6.2</v>
      </c>
      <c r="J707" s="111" t="s">
        <v>24</v>
      </c>
      <c r="L707" s="116">
        <v>1.41402979520344E-3</v>
      </c>
      <c r="M707" s="111" t="s">
        <v>24</v>
      </c>
      <c r="N707" s="22">
        <v>4.4776245067844202E-2</v>
      </c>
    </row>
    <row r="708" spans="7:14" x14ac:dyDescent="0.45">
      <c r="G708" s="115">
        <v>7.4860400922534796E-4</v>
      </c>
      <c r="H708" s="133"/>
      <c r="I708" s="21">
        <v>7.8</v>
      </c>
      <c r="J708" s="111" t="s">
        <v>24</v>
      </c>
      <c r="L708" s="116">
        <v>7.4860400922534796E-4</v>
      </c>
      <c r="M708" s="111" t="s">
        <v>24</v>
      </c>
      <c r="N708" s="22">
        <v>2.30567674313048E-2</v>
      </c>
    </row>
    <row r="709" spans="7:14" x14ac:dyDescent="0.45">
      <c r="G709" s="115">
        <v>3.3271289298904402E-4</v>
      </c>
      <c r="H709" s="133"/>
      <c r="I709" s="21">
        <v>9.8000000000000007</v>
      </c>
      <c r="J709" s="111" t="s">
        <v>24</v>
      </c>
      <c r="L709" s="116">
        <v>3.3271289298904402E-4</v>
      </c>
      <c r="M709" s="111" t="s">
        <v>24</v>
      </c>
      <c r="N709" s="22">
        <v>9.8754889265890294E-3</v>
      </c>
    </row>
    <row r="710" spans="7:14" x14ac:dyDescent="0.45">
      <c r="G710" s="115">
        <v>1.2257843425912099E-4</v>
      </c>
      <c r="H710" s="133"/>
      <c r="I710" s="21">
        <v>12.2</v>
      </c>
      <c r="J710" s="111" t="s">
        <v>24</v>
      </c>
      <c r="L710" s="116">
        <v>1.2257843425912099E-4</v>
      </c>
      <c r="M710" s="111" t="s">
        <v>24</v>
      </c>
      <c r="N710" s="22">
        <v>3.4667622426775399E-3</v>
      </c>
    </row>
    <row r="711" spans="7:14" x14ac:dyDescent="0.45">
      <c r="G711" s="115">
        <v>3.6773530277736403E-5</v>
      </c>
      <c r="H711" s="133"/>
      <c r="I711" s="21">
        <v>15</v>
      </c>
      <c r="J711" s="111" t="s">
        <v>24</v>
      </c>
      <c r="L711" s="116">
        <v>3.6773530277736403E-5</v>
      </c>
      <c r="M711" s="111" t="s">
        <v>24</v>
      </c>
      <c r="N711" s="22">
        <v>9.765625E-4</v>
      </c>
    </row>
    <row r="712" spans="7:14" x14ac:dyDescent="0.45">
      <c r="G712" s="115">
        <v>8.7556024470801003E-6</v>
      </c>
      <c r="H712" s="133"/>
      <c r="I712" s="21">
        <v>18.2</v>
      </c>
      <c r="J712" s="111" t="s">
        <v>24</v>
      </c>
      <c r="L712" s="116">
        <v>8.7556024470801003E-6</v>
      </c>
      <c r="M712" s="111" t="s">
        <v>24</v>
      </c>
      <c r="N712" s="22">
        <v>2.1394632139263E-4</v>
      </c>
    </row>
    <row r="713" spans="7:14" x14ac:dyDescent="0.45">
      <c r="G713" s="115">
        <v>1.59192771765093E-6</v>
      </c>
      <c r="H713" s="133"/>
      <c r="I713" s="21">
        <v>21.8</v>
      </c>
      <c r="J713" s="111" t="s">
        <v>24</v>
      </c>
      <c r="L713" s="116">
        <v>1.59192771765093E-6</v>
      </c>
      <c r="M713" s="111" t="s">
        <v>24</v>
      </c>
      <c r="N713" s="22">
        <v>3.4712607369219998E-5</v>
      </c>
    </row>
    <row r="714" spans="7:14" x14ac:dyDescent="0.45">
      <c r="G714" s="115">
        <v>2.07642745780556E-7</v>
      </c>
      <c r="H714" s="133"/>
      <c r="I714" s="21">
        <v>25.8</v>
      </c>
      <c r="J714" s="111" t="s">
        <v>24</v>
      </c>
      <c r="L714" s="116">
        <v>2.07642745780556E-7</v>
      </c>
      <c r="M714" s="111" t="s">
        <v>24</v>
      </c>
      <c r="N714" s="22">
        <v>3.8313317498700002E-6</v>
      </c>
    </row>
    <row r="715" spans="7:14" x14ac:dyDescent="0.45">
      <c r="G715" s="115">
        <v>1.7303562148379599E-8</v>
      </c>
      <c r="H715" s="133"/>
      <c r="I715" s="21">
        <v>30.2</v>
      </c>
      <c r="J715" s="111" t="s">
        <v>24</v>
      </c>
      <c r="L715" s="116">
        <v>1.7303562148379599E-8</v>
      </c>
      <c r="M715" s="111" t="s">
        <v>24</v>
      </c>
      <c r="N715" s="22">
        <v>2.3992758203000002E-7</v>
      </c>
    </row>
    <row r="716" spans="7:14" x14ac:dyDescent="0.45">
      <c r="G716" s="115">
        <v>6.9214248593518502E-10</v>
      </c>
      <c r="H716" s="133"/>
      <c r="I716" s="21">
        <v>35</v>
      </c>
      <c r="J716" s="111" t="s">
        <v>24</v>
      </c>
      <c r="L716" s="116">
        <v>6.9214248593518502E-10</v>
      </c>
      <c r="M716" s="111" t="s">
        <v>24</v>
      </c>
      <c r="N716" s="22">
        <v>3.6028797000000002E-9</v>
      </c>
    </row>
    <row r="717" spans="7:14" x14ac:dyDescent="0.45">
      <c r="G717" s="115">
        <v>2.8839270247299399E-9</v>
      </c>
      <c r="H717" s="133"/>
      <c r="I717" s="21">
        <v>31.2</v>
      </c>
      <c r="J717" s="111" t="s">
        <v>24</v>
      </c>
      <c r="L717" s="116">
        <v>2.8839270247299399E-9</v>
      </c>
      <c r="M717" s="111" t="s">
        <v>24</v>
      </c>
      <c r="N717" s="22">
        <v>1.6070252350000001E-8</v>
      </c>
    </row>
    <row r="718" spans="7:14" x14ac:dyDescent="0.45">
      <c r="G718" s="115">
        <v>6.9214248593518501E-8</v>
      </c>
      <c r="H718" s="133"/>
      <c r="I718" s="21">
        <v>26.6</v>
      </c>
      <c r="J718" s="111" t="s">
        <v>24</v>
      </c>
      <c r="L718" s="116">
        <v>6.9214248593518501E-8</v>
      </c>
      <c r="M718" s="111" t="s">
        <v>24</v>
      </c>
      <c r="N718" s="22">
        <v>1.02648420082E-6</v>
      </c>
    </row>
    <row r="719" spans="7:14" x14ac:dyDescent="0.45">
      <c r="G719" s="115">
        <v>7.95963858825463E-7</v>
      </c>
      <c r="H719" s="133"/>
      <c r="I719" s="21">
        <v>22.4</v>
      </c>
      <c r="J719" s="111" t="s">
        <v>24</v>
      </c>
      <c r="L719" s="116">
        <v>7.95963858825463E-7</v>
      </c>
      <c r="M719" s="111" t="s">
        <v>24</v>
      </c>
      <c r="N719" s="22">
        <v>1.569399566389E-5</v>
      </c>
    </row>
    <row r="720" spans="7:14" x14ac:dyDescent="0.45">
      <c r="G720" s="115">
        <v>5.8370682980533999E-6</v>
      </c>
      <c r="H720" s="133"/>
      <c r="I720" s="21">
        <v>18.600000000000001</v>
      </c>
      <c r="J720" s="111" t="s">
        <v>24</v>
      </c>
      <c r="L720" s="116">
        <v>5.8370682980533999E-6</v>
      </c>
      <c r="M720" s="111" t="s">
        <v>24</v>
      </c>
      <c r="N720" s="22">
        <v>1.358699902153E-4</v>
      </c>
    </row>
    <row r="721" spans="7:14" x14ac:dyDescent="0.45">
      <c r="G721" s="115">
        <v>3.0644608564780302E-5</v>
      </c>
      <c r="H721" s="133"/>
      <c r="I721" s="21">
        <v>15.2</v>
      </c>
      <c r="J721" s="111" t="s">
        <v>24</v>
      </c>
      <c r="L721" s="116">
        <v>3.0644608564780302E-5</v>
      </c>
      <c r="M721" s="111" t="s">
        <v>24</v>
      </c>
      <c r="N721" s="22">
        <v>7.9845899744124997E-4</v>
      </c>
    </row>
    <row r="722" spans="7:14" x14ac:dyDescent="0.45">
      <c r="G722" s="115">
        <v>1.2257843425912099E-4</v>
      </c>
      <c r="H722" s="133"/>
      <c r="I722" s="21">
        <v>12.2</v>
      </c>
      <c r="J722" s="111" t="s">
        <v>24</v>
      </c>
      <c r="L722" s="116">
        <v>1.2257843425912099E-4</v>
      </c>
      <c r="M722" s="111" t="s">
        <v>24</v>
      </c>
      <c r="N722" s="22">
        <v>3.4667622426775399E-3</v>
      </c>
    </row>
    <row r="723" spans="7:14" x14ac:dyDescent="0.45">
      <c r="G723" s="115">
        <v>3.8816504182055098E-4</v>
      </c>
      <c r="H723" s="133"/>
      <c r="I723" s="21">
        <v>9.6</v>
      </c>
      <c r="J723" s="111" t="s">
        <v>24</v>
      </c>
      <c r="L723" s="116">
        <v>3.8816504182055098E-4</v>
      </c>
      <c r="M723" s="111" t="s">
        <v>24</v>
      </c>
      <c r="N723" s="22">
        <v>1.1675618702440301E-2</v>
      </c>
    </row>
    <row r="724" spans="7:14" x14ac:dyDescent="0.45">
      <c r="G724" s="115">
        <v>9.9813867896713098E-4</v>
      </c>
      <c r="H724" s="133"/>
      <c r="I724" s="21">
        <v>7.4</v>
      </c>
      <c r="J724" s="111" t="s">
        <v>24</v>
      </c>
      <c r="L724" s="116">
        <v>9.9813867896713098E-4</v>
      </c>
      <c r="M724" s="111" t="s">
        <v>24</v>
      </c>
      <c r="N724" s="22">
        <v>3.1461147161434701E-2</v>
      </c>
    </row>
    <row r="725" spans="7:14" x14ac:dyDescent="0.45">
      <c r="G725" s="115">
        <v>2.1210446928051499E-3</v>
      </c>
      <c r="H725" s="133"/>
      <c r="I725" s="21">
        <v>5.6</v>
      </c>
      <c r="J725" s="111" t="s">
        <v>24</v>
      </c>
      <c r="L725" s="116">
        <v>2.1210446928051499E-3</v>
      </c>
      <c r="M725" s="111" t="s">
        <v>24</v>
      </c>
      <c r="N725" s="22">
        <v>6.9255278373312398E-2</v>
      </c>
    </row>
    <row r="726" spans="7:14" x14ac:dyDescent="0.45">
      <c r="G726" s="115">
        <v>3.7707461205424898E-3</v>
      </c>
      <c r="H726" s="133"/>
      <c r="I726" s="21">
        <v>4.2</v>
      </c>
      <c r="J726" s="111" t="s">
        <v>24</v>
      </c>
      <c r="L726" s="116">
        <v>3.7707461205424898E-3</v>
      </c>
      <c r="M726" s="111" t="s">
        <v>24</v>
      </c>
      <c r="N726" s="22">
        <v>0.12634004490193801</v>
      </c>
    </row>
    <row r="727" spans="7:14" x14ac:dyDescent="0.45">
      <c r="G727" s="115">
        <v>5.6561191808137401E-3</v>
      </c>
      <c r="H727" s="133"/>
      <c r="I727" s="21">
        <v>3.2</v>
      </c>
      <c r="J727" s="111" t="s">
        <v>24</v>
      </c>
      <c r="L727" s="116">
        <v>5.6561191808137401E-3</v>
      </c>
      <c r="M727" s="111" t="s">
        <v>24</v>
      </c>
      <c r="N727" s="22">
        <v>0.192885685223364</v>
      </c>
    </row>
    <row r="728" spans="7:14" x14ac:dyDescent="0.45">
      <c r="G728" s="115">
        <v>5.6561191808137401E-3</v>
      </c>
      <c r="H728" s="133"/>
      <c r="I728" s="21">
        <v>3.2</v>
      </c>
      <c r="J728" s="111" t="s">
        <v>24</v>
      </c>
      <c r="L728" s="116">
        <v>7.1986971392174904E-3</v>
      </c>
      <c r="M728" s="111" t="s">
        <v>24</v>
      </c>
      <c r="N728" s="22">
        <v>0.24803295134195899</v>
      </c>
    </row>
    <row r="729" spans="7:14" x14ac:dyDescent="0.45">
      <c r="G729" s="115">
        <v>3.7707461205424898E-3</v>
      </c>
      <c r="H729" s="133"/>
      <c r="I729" s="21">
        <v>4.2</v>
      </c>
      <c r="J729" s="111" t="s">
        <v>24</v>
      </c>
      <c r="L729" s="116">
        <v>7.7985885674856101E-3</v>
      </c>
      <c r="M729" s="48" t="s">
        <v>24</v>
      </c>
      <c r="N729" s="22">
        <v>0.26961409491759503</v>
      </c>
    </row>
    <row r="730" spans="7:14" x14ac:dyDescent="0.45">
      <c r="G730" s="115">
        <v>2.1210446928051499E-3</v>
      </c>
      <c r="H730" s="133"/>
      <c r="I730" s="21">
        <v>5.6</v>
      </c>
      <c r="J730" s="111" t="s">
        <v>24</v>
      </c>
      <c r="L730" s="116">
        <v>7.1986971392174904E-3</v>
      </c>
      <c r="M730" s="111" t="s">
        <v>24</v>
      </c>
      <c r="N730" s="22">
        <v>0.24803295134195899</v>
      </c>
    </row>
    <row r="731" spans="7:14" x14ac:dyDescent="0.45">
      <c r="G731" s="115">
        <v>9.9813867896713098E-4</v>
      </c>
      <c r="H731" s="133"/>
      <c r="I731" s="21">
        <v>7.4</v>
      </c>
      <c r="J731" s="111" t="s">
        <v>24</v>
      </c>
      <c r="L731" s="116">
        <v>5.6561191808137401E-3</v>
      </c>
      <c r="M731" s="111" t="s">
        <v>24</v>
      </c>
      <c r="N731" s="22">
        <v>0.192885685223364</v>
      </c>
    </row>
    <row r="732" spans="7:14" x14ac:dyDescent="0.45">
      <c r="G732" s="115">
        <v>3.8816504182055098E-4</v>
      </c>
      <c r="H732" s="133"/>
      <c r="I732" s="21">
        <v>9.6</v>
      </c>
      <c r="J732" s="111" t="s">
        <v>24</v>
      </c>
      <c r="L732" s="116">
        <v>3.7707461205424898E-3</v>
      </c>
      <c r="M732" s="111" t="s">
        <v>24</v>
      </c>
      <c r="N732" s="22">
        <v>0.12634004490193801</v>
      </c>
    </row>
    <row r="733" spans="7:14" x14ac:dyDescent="0.45">
      <c r="G733" s="115">
        <v>1.2257843425912099E-4</v>
      </c>
      <c r="H733" s="133"/>
      <c r="I733" s="21">
        <v>12.2</v>
      </c>
      <c r="J733" s="111" t="s">
        <v>24</v>
      </c>
      <c r="L733" s="116">
        <v>2.1210446928051499E-3</v>
      </c>
      <c r="M733" s="111" t="s">
        <v>24</v>
      </c>
      <c r="N733" s="22">
        <v>6.9255278373312398E-2</v>
      </c>
    </row>
    <row r="734" spans="7:14" x14ac:dyDescent="0.45">
      <c r="G734" s="115">
        <v>3.0644608564780302E-5</v>
      </c>
      <c r="H734" s="133"/>
      <c r="I734" s="21">
        <v>15.2</v>
      </c>
      <c r="J734" s="111" t="s">
        <v>24</v>
      </c>
      <c r="L734" s="116">
        <v>9.9813867896713098E-4</v>
      </c>
      <c r="M734" s="111" t="s">
        <v>24</v>
      </c>
      <c r="N734" s="22">
        <v>3.1461147161434701E-2</v>
      </c>
    </row>
    <row r="735" spans="7:14" x14ac:dyDescent="0.45">
      <c r="G735" s="115">
        <v>5.8370682980533999E-6</v>
      </c>
      <c r="H735" s="133"/>
      <c r="I735" s="21">
        <v>18.600000000000001</v>
      </c>
      <c r="J735" s="111" t="s">
        <v>24</v>
      </c>
      <c r="L735" s="116">
        <v>3.8816504182055098E-4</v>
      </c>
      <c r="M735" s="111" t="s">
        <v>24</v>
      </c>
      <c r="N735" s="22">
        <v>1.1675618702440301E-2</v>
      </c>
    </row>
    <row r="736" spans="7:14" x14ac:dyDescent="0.45">
      <c r="G736" s="115">
        <v>7.95963858825463E-7</v>
      </c>
      <c r="H736" s="133"/>
      <c r="I736" s="21">
        <v>22.4</v>
      </c>
      <c r="J736" s="111" t="s">
        <v>24</v>
      </c>
      <c r="L736" s="116">
        <v>1.2257843425912099E-4</v>
      </c>
      <c r="M736" s="111" t="s">
        <v>24</v>
      </c>
      <c r="N736" s="22">
        <v>3.4667622426775399E-3</v>
      </c>
    </row>
    <row r="737" spans="7:14" x14ac:dyDescent="0.45">
      <c r="G737" s="115">
        <v>6.9214248593518501E-8</v>
      </c>
      <c r="H737" s="133"/>
      <c r="I737" s="21">
        <v>26.6</v>
      </c>
      <c r="J737" s="111" t="s">
        <v>24</v>
      </c>
      <c r="L737" s="116">
        <v>3.0644608564780302E-5</v>
      </c>
      <c r="M737" s="111" t="s">
        <v>24</v>
      </c>
      <c r="N737" s="22">
        <v>7.9845899744124997E-4</v>
      </c>
    </row>
    <row r="738" spans="7:14" x14ac:dyDescent="0.45">
      <c r="G738" s="115">
        <v>2.8839270247299399E-9</v>
      </c>
      <c r="H738" s="133"/>
      <c r="I738" s="21">
        <v>31.2</v>
      </c>
      <c r="J738" s="111" t="s">
        <v>24</v>
      </c>
      <c r="L738" s="116">
        <v>5.8370682980533999E-6</v>
      </c>
      <c r="M738" s="111" t="s">
        <v>24</v>
      </c>
      <c r="N738" s="22">
        <v>1.358699902153E-4</v>
      </c>
    </row>
    <row r="739" spans="7:14" x14ac:dyDescent="0.45">
      <c r="G739" s="115">
        <v>9.8877497990740807E-9</v>
      </c>
      <c r="H739" s="133"/>
      <c r="I739" s="21">
        <v>27.8</v>
      </c>
      <c r="J739" s="111" t="s">
        <v>24</v>
      </c>
      <c r="L739" s="116">
        <v>7.95963858825463E-7</v>
      </c>
      <c r="M739" s="111" t="s">
        <v>24</v>
      </c>
      <c r="N739" s="22">
        <v>1.569399566389E-5</v>
      </c>
    </row>
    <row r="740" spans="7:14" x14ac:dyDescent="0.45">
      <c r="G740" s="115">
        <v>2.27418245378704E-7</v>
      </c>
      <c r="H740" s="133"/>
      <c r="I740" s="21">
        <v>23.4</v>
      </c>
      <c r="J740" s="111" t="s">
        <v>24</v>
      </c>
      <c r="L740" s="116">
        <v>6.9214248593518501E-8</v>
      </c>
      <c r="M740" s="111" t="s">
        <v>24</v>
      </c>
      <c r="N740" s="22">
        <v>1.02648420082E-6</v>
      </c>
    </row>
    <row r="741" spans="7:14" x14ac:dyDescent="0.45">
      <c r="G741" s="115">
        <v>2.5016006991657402E-6</v>
      </c>
      <c r="H741" s="133"/>
      <c r="I741" s="21">
        <v>19.399999999999999</v>
      </c>
      <c r="J741" s="111" t="s">
        <v>24</v>
      </c>
      <c r="L741" s="116">
        <v>2.8839270247299399E-9</v>
      </c>
      <c r="M741" s="111" t="s">
        <v>24</v>
      </c>
      <c r="N741" s="22">
        <v>1.6070252350000001E-8</v>
      </c>
    </row>
    <row r="742" spans="7:14" x14ac:dyDescent="0.45">
      <c r="G742" s="115">
        <v>1.7511204894160201E-5</v>
      </c>
      <c r="H742" s="133"/>
      <c r="I742" s="21">
        <v>15.8</v>
      </c>
      <c r="J742" s="111" t="s">
        <v>24</v>
      </c>
      <c r="L742" s="116">
        <v>9.8877497990740807E-9</v>
      </c>
      <c r="M742" s="111" t="s">
        <v>24</v>
      </c>
      <c r="N742" s="22">
        <v>5.8153183100000002E-8</v>
      </c>
    </row>
    <row r="743" spans="7:14" x14ac:dyDescent="0.45">
      <c r="G743" s="115">
        <v>8.7556024470800996E-5</v>
      </c>
      <c r="H743" s="133"/>
      <c r="I743" s="21">
        <v>12.6</v>
      </c>
      <c r="J743" s="111" t="s">
        <v>24</v>
      </c>
      <c r="L743" s="116">
        <v>2.27418245378704E-7</v>
      </c>
      <c r="M743" s="111" t="s">
        <v>24</v>
      </c>
      <c r="N743" s="22">
        <v>3.5564339042099999E-6</v>
      </c>
    </row>
    <row r="744" spans="7:14" x14ac:dyDescent="0.45">
      <c r="G744" s="115">
        <v>3.3271289298904402E-4</v>
      </c>
      <c r="H744" s="133"/>
      <c r="I744" s="21">
        <v>9.8000000000000007</v>
      </c>
      <c r="J744" s="111" t="s">
        <v>24</v>
      </c>
      <c r="L744" s="116">
        <v>2.5016006991657402E-6</v>
      </c>
      <c r="M744" s="111" t="s">
        <v>24</v>
      </c>
      <c r="N744" s="22">
        <v>5.1957535038879999E-5</v>
      </c>
    </row>
    <row r="745" spans="7:14" x14ac:dyDescent="0.45">
      <c r="G745" s="115">
        <v>9.9813867896713098E-4</v>
      </c>
      <c r="H745" s="133"/>
      <c r="I745" s="21">
        <v>7.4</v>
      </c>
      <c r="J745" s="111" t="s">
        <v>24</v>
      </c>
      <c r="L745" s="116">
        <v>1.7511204894160201E-5</v>
      </c>
      <c r="M745" s="111" t="s">
        <v>24</v>
      </c>
      <c r="N745" s="22">
        <v>4.2889407083793998E-4</v>
      </c>
    </row>
    <row r="746" spans="7:14" x14ac:dyDescent="0.45">
      <c r="G746" s="115">
        <v>2.4240510774915999E-3</v>
      </c>
      <c r="H746" s="133"/>
      <c r="I746" s="21">
        <v>5.4</v>
      </c>
      <c r="J746" s="111" t="s">
        <v>24</v>
      </c>
      <c r="L746" s="116">
        <v>8.7556024470800996E-5</v>
      </c>
      <c r="M746" s="111" t="s">
        <v>24</v>
      </c>
      <c r="N746" s="22">
        <v>2.3974818965432801E-3</v>
      </c>
    </row>
    <row r="747" spans="7:14" x14ac:dyDescent="0.45">
      <c r="G747" s="115">
        <v>4.8481021549832103E-3</v>
      </c>
      <c r="H747" s="133"/>
      <c r="I747" s="21">
        <v>3.8</v>
      </c>
      <c r="J747" s="111" t="s">
        <v>24</v>
      </c>
      <c r="L747" s="116">
        <v>3.3271289298904402E-4</v>
      </c>
      <c r="M747" s="111" t="s">
        <v>24</v>
      </c>
      <c r="N747" s="22">
        <v>9.8754889265890294E-3</v>
      </c>
    </row>
    <row r="748" spans="7:14" x14ac:dyDescent="0.45">
      <c r="G748" s="115">
        <v>4.8481021549832103E-3</v>
      </c>
      <c r="H748" s="133"/>
      <c r="I748" s="21">
        <v>3.8</v>
      </c>
      <c r="J748" s="111" t="s">
        <v>24</v>
      </c>
      <c r="L748" s="116">
        <v>9.9813867896713098E-4</v>
      </c>
      <c r="M748" s="111" t="s">
        <v>24</v>
      </c>
      <c r="N748" s="22">
        <v>3.1461147161434701E-2</v>
      </c>
    </row>
    <row r="749" spans="7:14" x14ac:dyDescent="0.45">
      <c r="G749" s="115">
        <v>2.4240510774915999E-3</v>
      </c>
      <c r="H749" s="133"/>
      <c r="I749" s="21">
        <v>5.4</v>
      </c>
      <c r="J749" s="111" t="s">
        <v>24</v>
      </c>
      <c r="L749" s="116">
        <v>2.4240510774915999E-3</v>
      </c>
      <c r="M749" s="111" t="s">
        <v>24</v>
      </c>
      <c r="N749" s="22">
        <v>7.9929614303087204E-2</v>
      </c>
    </row>
    <row r="750" spans="7:14" x14ac:dyDescent="0.45">
      <c r="G750" s="115">
        <v>9.9813867896713098E-4</v>
      </c>
      <c r="H750" s="133"/>
      <c r="I750" s="21">
        <v>7.4</v>
      </c>
      <c r="J750" s="111" t="s">
        <v>24</v>
      </c>
      <c r="L750" s="116">
        <v>4.8481021549832103E-3</v>
      </c>
      <c r="M750" s="111" t="s">
        <v>24</v>
      </c>
      <c r="N750" s="22">
        <v>0.16528176355909799</v>
      </c>
    </row>
    <row r="751" spans="7:14" x14ac:dyDescent="0.45">
      <c r="G751" s="115">
        <v>3.3271289298904402E-4</v>
      </c>
      <c r="H751" s="133"/>
      <c r="I751" s="21">
        <v>9.8000000000000007</v>
      </c>
      <c r="J751" s="111" t="s">
        <v>24</v>
      </c>
      <c r="L751" s="116">
        <v>4.8481021549832103E-3</v>
      </c>
      <c r="M751" s="111" t="s">
        <v>24</v>
      </c>
      <c r="N751" s="22">
        <v>0.16528176355909799</v>
      </c>
    </row>
    <row r="752" spans="7:14" x14ac:dyDescent="0.45">
      <c r="G752" s="115">
        <v>8.7556024470800996E-5</v>
      </c>
      <c r="H752" s="133"/>
      <c r="I752" s="21">
        <v>12.6</v>
      </c>
      <c r="J752" s="111" t="s">
        <v>24</v>
      </c>
      <c r="L752" s="116">
        <v>2.4240510774915999E-3</v>
      </c>
      <c r="M752" s="111" t="s">
        <v>24</v>
      </c>
      <c r="N752" s="22">
        <v>7.9929614303087204E-2</v>
      </c>
    </row>
    <row r="753" spans="7:14" x14ac:dyDescent="0.45">
      <c r="G753" s="115">
        <v>1.7511204894160201E-5</v>
      </c>
      <c r="H753" s="133"/>
      <c r="I753" s="21">
        <v>15.8</v>
      </c>
      <c r="J753" s="111" t="s">
        <v>24</v>
      </c>
      <c r="L753" s="116">
        <v>9.9813867896713098E-4</v>
      </c>
      <c r="M753" s="111" t="s">
        <v>24</v>
      </c>
      <c r="N753" s="22">
        <v>3.1461147161434701E-2</v>
      </c>
    </row>
    <row r="754" spans="7:14" x14ac:dyDescent="0.45">
      <c r="G754" s="115">
        <v>2.5016006991657402E-6</v>
      </c>
      <c r="H754" s="133"/>
      <c r="I754" s="21">
        <v>19.399999999999999</v>
      </c>
      <c r="J754" s="111" t="s">
        <v>24</v>
      </c>
      <c r="L754" s="116">
        <v>3.3271289298904402E-4</v>
      </c>
      <c r="M754" s="111" t="s">
        <v>24</v>
      </c>
      <c r="N754" s="22">
        <v>9.8754889265890294E-3</v>
      </c>
    </row>
    <row r="755" spans="7:14" x14ac:dyDescent="0.45">
      <c r="G755" s="115">
        <v>2.27418245378704E-7</v>
      </c>
      <c r="H755" s="133"/>
      <c r="I755" s="21">
        <v>23.4</v>
      </c>
      <c r="J755" s="111" t="s">
        <v>24</v>
      </c>
      <c r="L755" s="116">
        <v>8.7556024470800996E-5</v>
      </c>
      <c r="M755" s="111" t="s">
        <v>24</v>
      </c>
      <c r="N755" s="22">
        <v>2.3974818965432801E-3</v>
      </c>
    </row>
    <row r="756" spans="7:14" x14ac:dyDescent="0.45">
      <c r="G756" s="115">
        <v>9.8877497990740807E-9</v>
      </c>
      <c r="H756" s="133"/>
      <c r="I756" s="21">
        <v>27.8</v>
      </c>
      <c r="J756" s="111" t="s">
        <v>24</v>
      </c>
      <c r="L756" s="116">
        <v>1.7511204894160201E-5</v>
      </c>
      <c r="M756" s="111" t="s">
        <v>24</v>
      </c>
      <c r="N756" s="22">
        <v>4.2889407083793998E-4</v>
      </c>
    </row>
    <row r="757" spans="7:14" x14ac:dyDescent="0.45">
      <c r="G757" s="115">
        <v>2.8427280672338001E-8</v>
      </c>
      <c r="H757" s="133"/>
      <c r="I757" s="21">
        <v>24.8</v>
      </c>
      <c r="J757" s="111" t="s">
        <v>24</v>
      </c>
      <c r="L757" s="116">
        <v>2.5016006991657402E-6</v>
      </c>
      <c r="M757" s="111" t="s">
        <v>24</v>
      </c>
      <c r="N757" s="22">
        <v>5.1957535038879999E-5</v>
      </c>
    </row>
    <row r="758" spans="7:14" x14ac:dyDescent="0.45">
      <c r="G758" s="115">
        <v>6.2540017479143505E-7</v>
      </c>
      <c r="H758" s="133"/>
      <c r="I758" s="21">
        <v>20.6</v>
      </c>
      <c r="J758" s="111" t="s">
        <v>24</v>
      </c>
      <c r="L758" s="116">
        <v>2.27418245378704E-7</v>
      </c>
      <c r="M758" s="111" t="s">
        <v>24</v>
      </c>
      <c r="N758" s="22">
        <v>3.5564339042099999E-6</v>
      </c>
    </row>
    <row r="759" spans="7:14" x14ac:dyDescent="0.45">
      <c r="G759" s="115">
        <v>6.5667018353100701E-6</v>
      </c>
      <c r="H759" s="133"/>
      <c r="I759" s="21">
        <v>16.8</v>
      </c>
      <c r="J759" s="111" t="s">
        <v>24</v>
      </c>
      <c r="L759" s="116">
        <v>9.8877497990740807E-9</v>
      </c>
      <c r="M759" s="111" t="s">
        <v>24</v>
      </c>
      <c r="N759" s="22">
        <v>5.8153183100000002E-8</v>
      </c>
    </row>
    <row r="760" spans="7:14" x14ac:dyDescent="0.45">
      <c r="G760" s="115">
        <v>4.3778012235400498E-5</v>
      </c>
      <c r="H760" s="133"/>
      <c r="I760" s="21">
        <v>13.4</v>
      </c>
      <c r="J760" s="111" t="s">
        <v>24</v>
      </c>
      <c r="L760" s="116">
        <v>2.8427280672338001E-8</v>
      </c>
      <c r="M760" s="111" t="s">
        <v>24</v>
      </c>
      <c r="N760" s="22">
        <v>1.7457462827999999E-7</v>
      </c>
    </row>
    <row r="761" spans="7:14" x14ac:dyDescent="0.45">
      <c r="G761" s="115">
        <v>2.07945558118152E-4</v>
      </c>
      <c r="H761" s="133"/>
      <c r="I761" s="21">
        <v>10.4</v>
      </c>
      <c r="J761" s="111" t="s">
        <v>24</v>
      </c>
      <c r="L761" s="116">
        <v>6.2540017479143505E-7</v>
      </c>
      <c r="M761" s="111" t="s">
        <v>24</v>
      </c>
      <c r="N761" s="22">
        <v>1.020175559009E-5</v>
      </c>
    </row>
    <row r="762" spans="7:14" x14ac:dyDescent="0.45">
      <c r="G762" s="115">
        <v>7.4860400922534796E-4</v>
      </c>
      <c r="H762" s="133"/>
      <c r="I762" s="21">
        <v>7.8</v>
      </c>
      <c r="J762" s="111" t="s">
        <v>24</v>
      </c>
      <c r="L762" s="116">
        <v>6.5667018353100701E-6</v>
      </c>
      <c r="M762" s="111" t="s">
        <v>24</v>
      </c>
      <c r="N762" s="22">
        <v>1.4210854715202001E-4</v>
      </c>
    </row>
    <row r="763" spans="7:14" x14ac:dyDescent="0.45">
      <c r="G763" s="115">
        <v>2.1210446928051499E-3</v>
      </c>
      <c r="H763" s="133"/>
      <c r="I763" s="21">
        <v>5.6</v>
      </c>
      <c r="J763" s="111" t="s">
        <v>24</v>
      </c>
      <c r="L763" s="116">
        <v>4.3778012235400498E-5</v>
      </c>
      <c r="M763" s="111" t="s">
        <v>24</v>
      </c>
      <c r="N763" s="22">
        <v>1.1158297127758701E-3</v>
      </c>
    </row>
    <row r="764" spans="7:14" x14ac:dyDescent="0.45">
      <c r="G764" s="115">
        <v>4.8481021549832103E-3</v>
      </c>
      <c r="H764" s="133"/>
      <c r="I764" s="21">
        <v>3.8</v>
      </c>
      <c r="J764" s="111" t="s">
        <v>24</v>
      </c>
      <c r="L764" s="116">
        <v>2.07945558118152E-4</v>
      </c>
      <c r="M764" s="111" t="s">
        <v>24</v>
      </c>
      <c r="N764" s="22">
        <v>5.9174561298786302E-3</v>
      </c>
    </row>
    <row r="765" spans="7:14" x14ac:dyDescent="0.45">
      <c r="G765" s="115">
        <v>4.8481021549832103E-3</v>
      </c>
      <c r="H765" s="133"/>
      <c r="I765" s="21">
        <v>3.8</v>
      </c>
      <c r="J765" s="111" t="s">
        <v>24</v>
      </c>
      <c r="L765" s="116">
        <v>7.4860400922534796E-4</v>
      </c>
      <c r="M765" s="111" t="s">
        <v>24</v>
      </c>
      <c r="N765" s="22">
        <v>2.30567674313048E-2</v>
      </c>
    </row>
    <row r="766" spans="7:14" x14ac:dyDescent="0.45">
      <c r="G766" s="115">
        <v>2.1210446928051499E-3</v>
      </c>
      <c r="H766" s="133"/>
      <c r="I766" s="21">
        <v>5.6</v>
      </c>
      <c r="J766" s="111" t="s">
        <v>24</v>
      </c>
      <c r="L766" s="116">
        <v>2.1210446928051499E-3</v>
      </c>
      <c r="M766" s="111" t="s">
        <v>24</v>
      </c>
      <c r="N766" s="22">
        <v>6.9255278373312398E-2</v>
      </c>
    </row>
    <row r="767" spans="7:14" x14ac:dyDescent="0.45">
      <c r="G767" s="115">
        <v>7.4860400922534796E-4</v>
      </c>
      <c r="H767" s="133"/>
      <c r="I767" s="21">
        <v>7.8</v>
      </c>
      <c r="J767" s="111" t="s">
        <v>24</v>
      </c>
      <c r="L767" s="116">
        <v>4.8481021549832103E-3</v>
      </c>
      <c r="M767" s="111" t="s">
        <v>24</v>
      </c>
      <c r="N767" s="22">
        <v>0.16528176355909799</v>
      </c>
    </row>
    <row r="768" spans="7:14" x14ac:dyDescent="0.45">
      <c r="G768" s="115">
        <v>2.07945558118152E-4</v>
      </c>
      <c r="H768" s="133"/>
      <c r="I768" s="21">
        <v>10.4</v>
      </c>
      <c r="J768" s="111" t="s">
        <v>24</v>
      </c>
      <c r="L768" s="116">
        <v>4.8481021549832103E-3</v>
      </c>
      <c r="M768" s="111" t="s">
        <v>24</v>
      </c>
      <c r="N768" s="22">
        <v>0.16528176355909799</v>
      </c>
    </row>
    <row r="769" spans="7:14" x14ac:dyDescent="0.45">
      <c r="G769" s="115">
        <v>4.3778012235400498E-5</v>
      </c>
      <c r="H769" s="133"/>
      <c r="I769" s="21">
        <v>13.4</v>
      </c>
      <c r="J769" s="111" t="s">
        <v>24</v>
      </c>
      <c r="L769" s="116">
        <v>2.1210446928051499E-3</v>
      </c>
      <c r="M769" s="111" t="s">
        <v>24</v>
      </c>
      <c r="N769" s="22">
        <v>6.9255278373312398E-2</v>
      </c>
    </row>
    <row r="770" spans="7:14" x14ac:dyDescent="0.45">
      <c r="G770" s="115">
        <v>6.5667018353100701E-6</v>
      </c>
      <c r="H770" s="133"/>
      <c r="I770" s="21">
        <v>16.8</v>
      </c>
      <c r="J770" s="111" t="s">
        <v>24</v>
      </c>
      <c r="L770" s="116">
        <v>7.4860400922534796E-4</v>
      </c>
      <c r="M770" s="111" t="s">
        <v>24</v>
      </c>
      <c r="N770" s="22">
        <v>2.30567674313048E-2</v>
      </c>
    </row>
    <row r="771" spans="7:14" x14ac:dyDescent="0.45">
      <c r="G771" s="115">
        <v>6.2540017479143505E-7</v>
      </c>
      <c r="H771" s="133"/>
      <c r="I771" s="21">
        <v>20.6</v>
      </c>
      <c r="J771" s="111" t="s">
        <v>24</v>
      </c>
      <c r="L771" s="116">
        <v>2.07945558118152E-4</v>
      </c>
      <c r="M771" s="111" t="s">
        <v>24</v>
      </c>
      <c r="N771" s="22">
        <v>5.9174561298786302E-3</v>
      </c>
    </row>
    <row r="772" spans="7:14" x14ac:dyDescent="0.45">
      <c r="G772" s="115">
        <v>2.8427280672338001E-8</v>
      </c>
      <c r="H772" s="133"/>
      <c r="I772" s="21">
        <v>24.8</v>
      </c>
      <c r="J772" s="111" t="s">
        <v>24</v>
      </c>
      <c r="L772" s="116">
        <v>4.3778012235400498E-5</v>
      </c>
      <c r="M772" s="111" t="s">
        <v>24</v>
      </c>
      <c r="N772" s="22">
        <v>1.1158297127758701E-3</v>
      </c>
    </row>
    <row r="773" spans="7:14" x14ac:dyDescent="0.45">
      <c r="G773" s="115">
        <v>6.9488908310159502E-8</v>
      </c>
      <c r="H773" s="133"/>
      <c r="I773" s="21">
        <v>22.2</v>
      </c>
      <c r="J773" s="111" t="s">
        <v>24</v>
      </c>
      <c r="L773" s="116">
        <v>6.5667018353100701E-6</v>
      </c>
      <c r="M773" s="111" t="s">
        <v>24</v>
      </c>
      <c r="N773" s="22">
        <v>1.4210854715202001E-4</v>
      </c>
    </row>
    <row r="774" spans="7:14" x14ac:dyDescent="0.45">
      <c r="G774" s="115">
        <v>1.45926707451335E-6</v>
      </c>
      <c r="H774" s="133"/>
      <c r="I774" s="21">
        <v>18.2</v>
      </c>
      <c r="J774" s="111" t="s">
        <v>24</v>
      </c>
      <c r="L774" s="116">
        <v>6.2540017479143505E-7</v>
      </c>
      <c r="M774" s="111" t="s">
        <v>24</v>
      </c>
      <c r="N774" s="22">
        <v>1.020175559009E-5</v>
      </c>
    </row>
    <row r="775" spans="7:14" x14ac:dyDescent="0.45">
      <c r="G775" s="115">
        <v>1.4592670745133499E-5</v>
      </c>
      <c r="H775" s="133"/>
      <c r="I775" s="21">
        <v>14.6</v>
      </c>
      <c r="J775" s="111" t="s">
        <v>24</v>
      </c>
      <c r="L775" s="116">
        <v>2.8427280672338001E-8</v>
      </c>
      <c r="M775" s="111" t="s">
        <v>24</v>
      </c>
      <c r="N775" s="22">
        <v>1.7457462827999999E-7</v>
      </c>
    </row>
    <row r="776" spans="7:14" x14ac:dyDescent="0.45">
      <c r="G776" s="115">
        <v>9.2420248052512097E-5</v>
      </c>
      <c r="H776" s="133"/>
      <c r="I776" s="21">
        <v>11.4</v>
      </c>
      <c r="J776" s="111" t="s">
        <v>24</v>
      </c>
      <c r="L776" s="116">
        <v>6.9488908310159502E-8</v>
      </c>
      <c r="M776" s="111" t="s">
        <v>24</v>
      </c>
      <c r="N776" s="22">
        <v>4.4178628125000002E-7</v>
      </c>
    </row>
    <row r="777" spans="7:14" x14ac:dyDescent="0.45">
      <c r="G777" s="115">
        <v>4.1589111623630502E-4</v>
      </c>
      <c r="H777" s="133"/>
      <c r="I777" s="21">
        <v>8.6</v>
      </c>
      <c r="J777" s="111" t="s">
        <v>24</v>
      </c>
      <c r="L777" s="116">
        <v>1.45926707451335E-6</v>
      </c>
      <c r="M777" s="111" t="s">
        <v>24</v>
      </c>
      <c r="N777" s="22">
        <v>2.4616001050119999E-5</v>
      </c>
    </row>
    <row r="778" spans="7:14" x14ac:dyDescent="0.45">
      <c r="G778" s="115">
        <v>1.41402979520344E-3</v>
      </c>
      <c r="H778" s="133"/>
      <c r="I778" s="21">
        <v>6.2</v>
      </c>
      <c r="J778" s="111" t="s">
        <v>24</v>
      </c>
      <c r="L778" s="116">
        <v>1.4592670745133499E-5</v>
      </c>
      <c r="M778" s="111" t="s">
        <v>24</v>
      </c>
      <c r="N778" s="22">
        <v>3.2616623883719001E-4</v>
      </c>
    </row>
    <row r="779" spans="7:14" x14ac:dyDescent="0.45">
      <c r="G779" s="115">
        <v>3.7707461205424898E-3</v>
      </c>
      <c r="H779" s="133"/>
      <c r="I779" s="21">
        <v>4.2</v>
      </c>
      <c r="J779" s="111" t="s">
        <v>24</v>
      </c>
      <c r="L779" s="116">
        <v>9.2420248052512097E-5</v>
      </c>
      <c r="M779" s="111" t="s">
        <v>24</v>
      </c>
      <c r="N779" s="22">
        <v>2.4296770921707002E-3</v>
      </c>
    </row>
    <row r="780" spans="7:14" x14ac:dyDescent="0.45">
      <c r="G780" s="115">
        <v>3.7707461205424898E-3</v>
      </c>
      <c r="H780" s="133"/>
      <c r="I780" s="21">
        <v>4.2</v>
      </c>
      <c r="J780" s="111" t="s">
        <v>24</v>
      </c>
      <c r="L780" s="116">
        <v>4.1589111623630502E-4</v>
      </c>
      <c r="M780" s="111" t="s">
        <v>24</v>
      </c>
      <c r="N780" s="22">
        <v>1.21883743994015E-2</v>
      </c>
    </row>
    <row r="781" spans="7:14" x14ac:dyDescent="0.45">
      <c r="G781" s="115">
        <v>1.41402979520344E-3</v>
      </c>
      <c r="H781" s="133"/>
      <c r="I781" s="21">
        <v>6.2</v>
      </c>
      <c r="J781" s="111" t="s">
        <v>24</v>
      </c>
      <c r="L781" s="116">
        <v>1.41402979520344E-3</v>
      </c>
      <c r="M781" s="111" t="s">
        <v>24</v>
      </c>
      <c r="N781" s="22">
        <v>4.4776245067844202E-2</v>
      </c>
    </row>
    <row r="782" spans="7:14" x14ac:dyDescent="0.45">
      <c r="G782" s="115">
        <v>4.1589111623630502E-4</v>
      </c>
      <c r="H782" s="133"/>
      <c r="I782" s="21">
        <v>8.6</v>
      </c>
      <c r="J782" s="111" t="s">
        <v>24</v>
      </c>
      <c r="L782" s="116">
        <v>3.7707461205424898E-3</v>
      </c>
      <c r="M782" s="111" t="s">
        <v>24</v>
      </c>
      <c r="N782" s="22">
        <v>0.12634004490193801</v>
      </c>
    </row>
    <row r="783" spans="7:14" x14ac:dyDescent="0.45">
      <c r="G783" s="115">
        <v>9.2420248052512097E-5</v>
      </c>
      <c r="H783" s="133"/>
      <c r="I783" s="21">
        <v>11.4</v>
      </c>
      <c r="J783" s="111" t="s">
        <v>24</v>
      </c>
      <c r="L783" s="116">
        <v>3.7707461205424898E-3</v>
      </c>
      <c r="M783" s="111" t="s">
        <v>24</v>
      </c>
      <c r="N783" s="22">
        <v>0.12634004490193801</v>
      </c>
    </row>
    <row r="784" spans="7:14" x14ac:dyDescent="0.45">
      <c r="G784" s="115">
        <v>1.4592670745133499E-5</v>
      </c>
      <c r="H784" s="133"/>
      <c r="I784" s="21">
        <v>14.6</v>
      </c>
      <c r="J784" s="111" t="s">
        <v>24</v>
      </c>
      <c r="L784" s="116">
        <v>1.41402979520344E-3</v>
      </c>
      <c r="M784" s="111" t="s">
        <v>24</v>
      </c>
      <c r="N784" s="22">
        <v>4.4776245067844202E-2</v>
      </c>
    </row>
    <row r="785" spans="7:14" x14ac:dyDescent="0.45">
      <c r="G785" s="115">
        <v>1.45926707451335E-6</v>
      </c>
      <c r="H785" s="133"/>
      <c r="I785" s="21">
        <v>18.2</v>
      </c>
      <c r="J785" s="111" t="s">
        <v>24</v>
      </c>
      <c r="L785" s="116">
        <v>4.1589111623630502E-4</v>
      </c>
      <c r="M785" s="111" t="s">
        <v>24</v>
      </c>
      <c r="N785" s="22">
        <v>1.21883743994015E-2</v>
      </c>
    </row>
    <row r="786" spans="7:14" x14ac:dyDescent="0.45">
      <c r="G786" s="115">
        <v>6.9488908310159502E-8</v>
      </c>
      <c r="H786" s="133"/>
      <c r="I786" s="21">
        <v>22.2</v>
      </c>
      <c r="J786" s="111" t="s">
        <v>24</v>
      </c>
      <c r="L786" s="116">
        <v>9.2420248052512097E-5</v>
      </c>
      <c r="M786" s="111" t="s">
        <v>24</v>
      </c>
      <c r="N786" s="22">
        <v>2.4296770921707002E-3</v>
      </c>
    </row>
    <row r="787" spans="7:14" x14ac:dyDescent="0.45">
      <c r="G787" s="115">
        <v>1.45926707451335E-7</v>
      </c>
      <c r="H787" s="133"/>
      <c r="I787" s="21">
        <v>20</v>
      </c>
      <c r="J787" s="111" t="s">
        <v>24</v>
      </c>
      <c r="L787" s="116">
        <v>1.4592670745133499E-5</v>
      </c>
      <c r="M787" s="111" t="s">
        <v>24</v>
      </c>
      <c r="N787" s="22">
        <v>3.2616623883719001E-4</v>
      </c>
    </row>
    <row r="788" spans="7:14" x14ac:dyDescent="0.45">
      <c r="G788" s="115">
        <v>2.9185341490266999E-6</v>
      </c>
      <c r="H788" s="133"/>
      <c r="I788" s="21">
        <v>16.2</v>
      </c>
      <c r="J788" s="111" t="s">
        <v>24</v>
      </c>
      <c r="L788" s="116">
        <v>1.45926707451335E-6</v>
      </c>
      <c r="M788" s="111" t="s">
        <v>24</v>
      </c>
      <c r="N788" s="22">
        <v>2.4616001050119999E-5</v>
      </c>
    </row>
    <row r="789" spans="7:14" x14ac:dyDescent="0.45">
      <c r="G789" s="115">
        <v>2.7726074415753601E-5</v>
      </c>
      <c r="H789" s="133"/>
      <c r="I789" s="21">
        <v>12.8</v>
      </c>
      <c r="J789" s="111" t="s">
        <v>24</v>
      </c>
      <c r="L789" s="116">
        <v>6.9488908310159502E-8</v>
      </c>
      <c r="M789" s="111" t="s">
        <v>24</v>
      </c>
      <c r="N789" s="22">
        <v>4.4178628125000002E-7</v>
      </c>
    </row>
    <row r="790" spans="7:14" x14ac:dyDescent="0.45">
      <c r="G790" s="115">
        <v>1.6635644649452201E-4</v>
      </c>
      <c r="H790" s="133"/>
      <c r="I790" s="21">
        <v>9.8000000000000007</v>
      </c>
      <c r="J790" s="111" t="s">
        <v>24</v>
      </c>
      <c r="L790" s="116">
        <v>1.45926707451335E-7</v>
      </c>
      <c r="M790" s="111" t="s">
        <v>24</v>
      </c>
      <c r="N790" s="22">
        <v>9.5367431641000003E-7</v>
      </c>
    </row>
    <row r="791" spans="7:14" x14ac:dyDescent="0.45">
      <c r="G791" s="115">
        <v>7.0701489760171795E-4</v>
      </c>
      <c r="H791" s="133"/>
      <c r="I791" s="21">
        <v>7.2</v>
      </c>
      <c r="J791" s="111" t="s">
        <v>24</v>
      </c>
      <c r="L791" s="116">
        <v>2.9185341490266999E-6</v>
      </c>
      <c r="M791" s="111" t="s">
        <v>24</v>
      </c>
      <c r="N791" s="22">
        <v>5.0545393498239999E-5</v>
      </c>
    </row>
    <row r="792" spans="7:14" x14ac:dyDescent="0.45">
      <c r="G792" s="115">
        <v>2.2624476723254999E-3</v>
      </c>
      <c r="H792" s="133"/>
      <c r="I792" s="21">
        <v>5</v>
      </c>
      <c r="J792" s="111" t="s">
        <v>24</v>
      </c>
      <c r="L792" s="116">
        <v>2.7726074415753601E-5</v>
      </c>
      <c r="M792" s="111" t="s">
        <v>24</v>
      </c>
      <c r="N792" s="22">
        <v>6.3538201383358996E-4</v>
      </c>
    </row>
    <row r="793" spans="7:14" x14ac:dyDescent="0.45">
      <c r="G793" s="115">
        <v>5.6561191808137401E-3</v>
      </c>
      <c r="H793" s="133"/>
      <c r="I793" s="21">
        <v>3.2</v>
      </c>
      <c r="J793" s="111" t="s">
        <v>24</v>
      </c>
      <c r="L793" s="116">
        <v>1.6635644649452201E-4</v>
      </c>
      <c r="M793" s="111" t="s">
        <v>24</v>
      </c>
      <c r="N793" s="22">
        <v>4.4771801788977697E-3</v>
      </c>
    </row>
    <row r="794" spans="7:14" x14ac:dyDescent="0.45">
      <c r="G794" s="115">
        <v>5.6561191808137401E-3</v>
      </c>
      <c r="H794" s="133"/>
      <c r="I794" s="21">
        <v>3.2</v>
      </c>
      <c r="J794" s="111" t="s">
        <v>24</v>
      </c>
      <c r="L794" s="116">
        <v>7.0701489760171795E-4</v>
      </c>
      <c r="M794" s="111" t="s">
        <v>24</v>
      </c>
      <c r="N794" s="22">
        <v>2.1175823681357502E-2</v>
      </c>
    </row>
    <row r="795" spans="7:14" x14ac:dyDescent="0.45">
      <c r="G795" s="115">
        <v>2.2624476723254999E-3</v>
      </c>
      <c r="H795" s="133"/>
      <c r="I795" s="21">
        <v>5</v>
      </c>
      <c r="J795" s="111" t="s">
        <v>24</v>
      </c>
      <c r="L795" s="116">
        <v>2.2624476723254999E-3</v>
      </c>
      <c r="M795" s="111" t="s">
        <v>24</v>
      </c>
      <c r="N795" s="22">
        <v>7.3077064336677294E-2</v>
      </c>
    </row>
    <row r="796" spans="7:14" x14ac:dyDescent="0.45">
      <c r="G796" s="115">
        <v>7.0701489760171795E-4</v>
      </c>
      <c r="H796" s="133"/>
      <c r="I796" s="21">
        <v>7.2</v>
      </c>
      <c r="J796" s="111" t="s">
        <v>24</v>
      </c>
      <c r="L796" s="116">
        <v>5.6561191808137401E-3</v>
      </c>
      <c r="M796" s="111" t="s">
        <v>24</v>
      </c>
      <c r="N796" s="22">
        <v>0.192885685223364</v>
      </c>
    </row>
    <row r="797" spans="7:14" x14ac:dyDescent="0.45">
      <c r="G797" s="115">
        <v>1.6635644649452201E-4</v>
      </c>
      <c r="H797" s="133"/>
      <c r="I797" s="21">
        <v>9.8000000000000007</v>
      </c>
      <c r="J797" s="111" t="s">
        <v>24</v>
      </c>
      <c r="L797" s="116">
        <v>5.6561191808137401E-3</v>
      </c>
      <c r="M797" s="111" t="s">
        <v>24</v>
      </c>
      <c r="N797" s="22">
        <v>0.192885685223364</v>
      </c>
    </row>
    <row r="798" spans="7:14" x14ac:dyDescent="0.45">
      <c r="G798" s="115">
        <v>2.7726074415753601E-5</v>
      </c>
      <c r="H798" s="133"/>
      <c r="I798" s="21">
        <v>12.8</v>
      </c>
      <c r="J798" s="111" t="s">
        <v>24</v>
      </c>
      <c r="L798" s="116">
        <v>2.2624476723254999E-3</v>
      </c>
      <c r="M798" s="111" t="s">
        <v>24</v>
      </c>
      <c r="N798" s="22">
        <v>7.3077064336677294E-2</v>
      </c>
    </row>
    <row r="799" spans="7:14" x14ac:dyDescent="0.45">
      <c r="G799" s="115">
        <v>2.9185341490266999E-6</v>
      </c>
      <c r="H799" s="133"/>
      <c r="I799" s="21">
        <v>16.2</v>
      </c>
      <c r="J799" s="111" t="s">
        <v>24</v>
      </c>
      <c r="L799" s="116">
        <v>7.0701489760171795E-4</v>
      </c>
      <c r="M799" s="111" t="s">
        <v>24</v>
      </c>
      <c r="N799" s="22">
        <v>2.1175823681357502E-2</v>
      </c>
    </row>
    <row r="800" spans="7:14" x14ac:dyDescent="0.45">
      <c r="G800" s="115">
        <v>1.45926707451335E-7</v>
      </c>
      <c r="H800" s="133"/>
      <c r="I800" s="21">
        <v>20</v>
      </c>
      <c r="J800" s="111" t="s">
        <v>24</v>
      </c>
      <c r="L800" s="116">
        <v>1.6635644649452201E-4</v>
      </c>
      <c r="M800" s="111" t="s">
        <v>24</v>
      </c>
      <c r="N800" s="22">
        <v>4.4771801788977697E-3</v>
      </c>
    </row>
    <row r="801" spans="7:14" x14ac:dyDescent="0.45">
      <c r="G801" s="115">
        <v>2.65321286275154E-7</v>
      </c>
      <c r="H801" s="133"/>
      <c r="I801" s="21">
        <v>18.2</v>
      </c>
      <c r="J801" s="111" t="s">
        <v>24</v>
      </c>
      <c r="L801" s="116">
        <v>2.7726074415753601E-5</v>
      </c>
      <c r="M801" s="111" t="s">
        <v>24</v>
      </c>
      <c r="N801" s="22">
        <v>6.3538201383358996E-4</v>
      </c>
    </row>
    <row r="802" spans="7:14" x14ac:dyDescent="0.45">
      <c r="G802" s="115">
        <v>5.0411044392279302E-6</v>
      </c>
      <c r="H802" s="133"/>
      <c r="I802" s="21">
        <v>14.6</v>
      </c>
      <c r="J802" s="111" t="s">
        <v>24</v>
      </c>
      <c r="L802" s="116">
        <v>2.9185341490266999E-6</v>
      </c>
      <c r="M802" s="111" t="s">
        <v>24</v>
      </c>
      <c r="N802" s="22">
        <v>5.0545393498239999E-5</v>
      </c>
    </row>
    <row r="803" spans="7:14" x14ac:dyDescent="0.45">
      <c r="G803" s="115">
        <v>4.53699399530514E-5</v>
      </c>
      <c r="H803" s="133"/>
      <c r="I803" s="21">
        <v>11.4</v>
      </c>
      <c r="J803" s="111" t="s">
        <v>24</v>
      </c>
      <c r="L803" s="116">
        <v>1.45926707451335E-7</v>
      </c>
      <c r="M803" s="111" t="s">
        <v>24</v>
      </c>
      <c r="N803" s="22">
        <v>9.5367431641000003E-7</v>
      </c>
    </row>
    <row r="804" spans="7:14" x14ac:dyDescent="0.45">
      <c r="G804" s="115">
        <v>2.5709632640062501E-4</v>
      </c>
      <c r="H804" s="133"/>
      <c r="I804" s="21">
        <v>8.6</v>
      </c>
      <c r="J804" s="111" t="s">
        <v>24</v>
      </c>
      <c r="L804" s="116">
        <v>2.65321286275154E-7</v>
      </c>
      <c r="M804" s="111" t="s">
        <v>24</v>
      </c>
      <c r="N804" s="22">
        <v>1.7715852068E-6</v>
      </c>
    </row>
    <row r="805" spans="7:14" x14ac:dyDescent="0.45">
      <c r="G805" s="115">
        <v>1.0283853056025001E-3</v>
      </c>
      <c r="H805" s="133"/>
      <c r="I805" s="21">
        <v>6.2</v>
      </c>
      <c r="J805" s="111" t="s">
        <v>24</v>
      </c>
      <c r="L805" s="116">
        <v>5.0411044392279302E-6</v>
      </c>
      <c r="M805" s="111" t="s">
        <v>24</v>
      </c>
      <c r="N805" s="22">
        <v>8.9079007875550003E-5</v>
      </c>
    </row>
    <row r="806" spans="7:14" x14ac:dyDescent="0.45">
      <c r="G806" s="115">
        <v>3.0851559168075002E-3</v>
      </c>
      <c r="H806" s="133"/>
      <c r="I806" s="21">
        <v>4.2</v>
      </c>
      <c r="J806" s="111" t="s">
        <v>24</v>
      </c>
      <c r="L806" s="116">
        <v>4.53699399530514E-5</v>
      </c>
      <c r="M806" s="111" t="s">
        <v>24</v>
      </c>
      <c r="N806" s="22">
        <v>1.0592264292183099E-3</v>
      </c>
    </row>
    <row r="807" spans="7:14" x14ac:dyDescent="0.45">
      <c r="G807" s="115">
        <v>3.0851559168075002E-3</v>
      </c>
      <c r="H807" s="133"/>
      <c r="I807" s="21">
        <v>4.2</v>
      </c>
      <c r="J807" s="111" t="s">
        <v>24</v>
      </c>
      <c r="L807" s="116">
        <v>2.5709632640062501E-4</v>
      </c>
      <c r="M807" s="111" t="s">
        <v>24</v>
      </c>
      <c r="N807" s="22">
        <v>7.0371527270489198E-3</v>
      </c>
    </row>
    <row r="808" spans="7:14" x14ac:dyDescent="0.45">
      <c r="G808" s="115">
        <v>1.0283853056025001E-3</v>
      </c>
      <c r="H808" s="133"/>
      <c r="I808" s="21">
        <v>6.2</v>
      </c>
      <c r="J808" s="111" t="s">
        <v>24</v>
      </c>
      <c r="L808" s="116">
        <v>1.0283853056025001E-3</v>
      </c>
      <c r="M808" s="111" t="s">
        <v>24</v>
      </c>
      <c r="N808" s="22">
        <v>3.1265948781756099E-2</v>
      </c>
    </row>
    <row r="809" spans="7:14" x14ac:dyDescent="0.45">
      <c r="G809" s="115">
        <v>2.5709632640062501E-4</v>
      </c>
      <c r="H809" s="133"/>
      <c r="I809" s="21">
        <v>8.6</v>
      </c>
      <c r="J809" s="111" t="s">
        <v>24</v>
      </c>
      <c r="L809" s="116">
        <v>3.0851559168075002E-3</v>
      </c>
      <c r="M809" s="111" t="s">
        <v>24</v>
      </c>
      <c r="N809" s="22">
        <v>0.100934106318291</v>
      </c>
    </row>
    <row r="810" spans="7:14" x14ac:dyDescent="0.45">
      <c r="G810" s="115">
        <v>4.53699399530514E-5</v>
      </c>
      <c r="H810" s="133"/>
      <c r="I810" s="21">
        <v>11.4</v>
      </c>
      <c r="J810" s="111" t="s">
        <v>24</v>
      </c>
      <c r="L810" s="116">
        <v>7.1986971392174904E-3</v>
      </c>
      <c r="M810" s="111" t="s">
        <v>24</v>
      </c>
      <c r="N810" s="22">
        <v>0.24803295134195899</v>
      </c>
    </row>
    <row r="811" spans="7:14" x14ac:dyDescent="0.45">
      <c r="G811" s="115">
        <v>5.0411044392279302E-6</v>
      </c>
      <c r="H811" s="133"/>
      <c r="I811" s="21">
        <v>14.6</v>
      </c>
      <c r="J811" s="111" t="s">
        <v>24</v>
      </c>
      <c r="L811" s="116">
        <v>7.1986971392174904E-3</v>
      </c>
      <c r="M811" s="111" t="s">
        <v>24</v>
      </c>
      <c r="N811" s="22">
        <v>0.24803295134195899</v>
      </c>
    </row>
    <row r="812" spans="7:14" x14ac:dyDescent="0.45">
      <c r="G812" s="115">
        <v>2.65321286275154E-7</v>
      </c>
      <c r="H812" s="133"/>
      <c r="I812" s="21">
        <v>18.2</v>
      </c>
      <c r="J812" s="111" t="s">
        <v>24</v>
      </c>
      <c r="L812" s="116">
        <v>3.0851559168075002E-3</v>
      </c>
      <c r="M812" s="111" t="s">
        <v>24</v>
      </c>
      <c r="N812" s="22">
        <v>0.100934106318291</v>
      </c>
    </row>
    <row r="813" spans="7:14" x14ac:dyDescent="0.45">
      <c r="G813" s="115">
        <v>4.2009203660232801E-7</v>
      </c>
      <c r="H813" s="133"/>
      <c r="I813" s="21">
        <v>16.8</v>
      </c>
      <c r="J813" s="111" t="s">
        <v>24</v>
      </c>
      <c r="L813" s="116">
        <v>1.0283853056025001E-3</v>
      </c>
      <c r="M813" s="111" t="s">
        <v>24</v>
      </c>
      <c r="N813" s="22">
        <v>3.1265948781756099E-2</v>
      </c>
    </row>
    <row r="814" spans="7:14" x14ac:dyDescent="0.45">
      <c r="G814" s="115">
        <v>7.5616566588419E-6</v>
      </c>
      <c r="H814" s="133"/>
      <c r="I814" s="21">
        <v>13.4</v>
      </c>
      <c r="J814" s="111" t="s">
        <v>24</v>
      </c>
      <c r="L814" s="116">
        <v>2.5709632640062501E-4</v>
      </c>
      <c r="M814" s="111" t="s">
        <v>24</v>
      </c>
      <c r="N814" s="22">
        <v>7.0371527270489198E-3</v>
      </c>
    </row>
    <row r="815" spans="7:14" x14ac:dyDescent="0.45">
      <c r="G815" s="115">
        <v>6.4274081600156199E-5</v>
      </c>
      <c r="H815" s="133"/>
      <c r="I815" s="21">
        <v>10.4</v>
      </c>
      <c r="J815" s="111" t="s">
        <v>24</v>
      </c>
      <c r="L815" s="116">
        <v>4.53699399530514E-5</v>
      </c>
      <c r="M815" s="111" t="s">
        <v>24</v>
      </c>
      <c r="N815" s="22">
        <v>1.0592264292183099E-3</v>
      </c>
    </row>
    <row r="816" spans="7:14" x14ac:dyDescent="0.45">
      <c r="G816" s="115">
        <v>3.4279510186750002E-4</v>
      </c>
      <c r="H816" s="133"/>
      <c r="I816" s="21">
        <v>7.8</v>
      </c>
      <c r="J816" s="111" t="s">
        <v>24</v>
      </c>
      <c r="L816" s="116">
        <v>5.0411044392279302E-6</v>
      </c>
      <c r="M816" s="111" t="s">
        <v>24</v>
      </c>
      <c r="N816" s="22">
        <v>8.9079007875550003E-5</v>
      </c>
    </row>
    <row r="817" spans="7:14" x14ac:dyDescent="0.45">
      <c r="G817" s="115">
        <v>1.28548163200312E-3</v>
      </c>
      <c r="H817" s="133"/>
      <c r="I817" s="21">
        <v>5.6</v>
      </c>
      <c r="J817" s="111" t="s">
        <v>24</v>
      </c>
      <c r="L817" s="116">
        <v>2.65321286275154E-7</v>
      </c>
      <c r="M817" s="111" t="s">
        <v>24</v>
      </c>
      <c r="N817" s="22">
        <v>1.7715852068E-6</v>
      </c>
    </row>
    <row r="818" spans="7:14" x14ac:dyDescent="0.45">
      <c r="G818" s="115">
        <v>3.59934856960874E-3</v>
      </c>
      <c r="H818" s="133"/>
      <c r="I818" s="21">
        <v>3.8</v>
      </c>
      <c r="J818" s="111" t="s">
        <v>24</v>
      </c>
      <c r="L818" s="116">
        <v>4.2009203660232801E-7</v>
      </c>
      <c r="M818" s="111" t="s">
        <v>24</v>
      </c>
      <c r="N818" s="22">
        <v>2.8504928472799999E-6</v>
      </c>
    </row>
    <row r="819" spans="7:14" x14ac:dyDescent="0.45">
      <c r="G819" s="115">
        <v>3.59934856960874E-3</v>
      </c>
      <c r="H819" s="133"/>
      <c r="I819" s="21">
        <v>3.8</v>
      </c>
      <c r="J819" s="111" t="s">
        <v>24</v>
      </c>
      <c r="L819" s="116">
        <v>7.5616566588419E-6</v>
      </c>
      <c r="M819" s="111" t="s">
        <v>24</v>
      </c>
      <c r="N819" s="22">
        <v>1.3557929896794999E-4</v>
      </c>
    </row>
    <row r="820" spans="7:14" x14ac:dyDescent="0.45">
      <c r="G820" s="115">
        <v>1.28548163200312E-3</v>
      </c>
      <c r="H820" s="133"/>
      <c r="I820" s="21">
        <v>5.6</v>
      </c>
      <c r="J820" s="111" t="s">
        <v>24</v>
      </c>
      <c r="L820" s="116">
        <v>6.4274081600156199E-5</v>
      </c>
      <c r="M820" s="111" t="s">
        <v>24</v>
      </c>
      <c r="N820" s="22">
        <v>1.5200061097023301E-3</v>
      </c>
    </row>
    <row r="821" spans="7:14" x14ac:dyDescent="0.45">
      <c r="G821" s="115">
        <v>3.4279510186750002E-4</v>
      </c>
      <c r="H821" s="133"/>
      <c r="I821" s="21">
        <v>7.8</v>
      </c>
      <c r="J821" s="111" t="s">
        <v>24</v>
      </c>
      <c r="L821" s="116">
        <v>3.4279510186750002E-4</v>
      </c>
      <c r="M821" s="111" t="s">
        <v>24</v>
      </c>
      <c r="N821" s="22">
        <v>9.48620263597434E-3</v>
      </c>
    </row>
    <row r="822" spans="7:14" x14ac:dyDescent="0.45">
      <c r="G822" s="115">
        <v>6.4274081600156199E-5</v>
      </c>
      <c r="H822" s="133"/>
      <c r="I822" s="21">
        <v>10.4</v>
      </c>
      <c r="J822" s="111" t="s">
        <v>24</v>
      </c>
      <c r="L822" s="116">
        <v>1.28548163200312E-3</v>
      </c>
      <c r="M822" s="111" t="s">
        <v>24</v>
      </c>
      <c r="N822" s="22">
        <v>3.9426895576119399E-2</v>
      </c>
    </row>
    <row r="823" spans="7:14" x14ac:dyDescent="0.45">
      <c r="G823" s="115">
        <v>7.5616566588419E-6</v>
      </c>
      <c r="H823" s="133"/>
      <c r="I823" s="21">
        <v>13.4</v>
      </c>
      <c r="J823" s="111" t="s">
        <v>24</v>
      </c>
      <c r="L823" s="116">
        <v>3.59934856960874E-3</v>
      </c>
      <c r="M823" s="111" t="s">
        <v>24</v>
      </c>
      <c r="N823" s="22">
        <v>0.118498116054793</v>
      </c>
    </row>
    <row r="824" spans="7:14" x14ac:dyDescent="0.45">
      <c r="G824" s="115">
        <v>4.2009203660232801E-7</v>
      </c>
      <c r="H824" s="133"/>
      <c r="I824" s="21">
        <v>16.8</v>
      </c>
      <c r="J824" s="111" t="s">
        <v>24</v>
      </c>
      <c r="L824" s="116">
        <v>7.7985885674856101E-3</v>
      </c>
      <c r="M824" s="48" t="s">
        <v>24</v>
      </c>
      <c r="N824" s="22">
        <v>0.26961409491759503</v>
      </c>
    </row>
    <row r="825" spans="7:14" x14ac:dyDescent="0.45">
      <c r="G825" s="115">
        <v>5.8166589683399196E-7</v>
      </c>
      <c r="H825" s="133"/>
      <c r="I825" s="21">
        <v>15.8</v>
      </c>
      <c r="J825" s="111" t="s">
        <v>24</v>
      </c>
      <c r="L825" s="116">
        <v>7.7985885674856101E-3</v>
      </c>
      <c r="M825" s="48" t="s">
        <v>24</v>
      </c>
      <c r="N825" s="22">
        <v>0.26961409491759503</v>
      </c>
    </row>
    <row r="826" spans="7:14" x14ac:dyDescent="0.45">
      <c r="G826" s="115">
        <v>9.8883202461778708E-6</v>
      </c>
      <c r="H826" s="133"/>
      <c r="I826" s="21">
        <v>12.6</v>
      </c>
      <c r="J826" s="111" t="s">
        <v>24</v>
      </c>
      <c r="L826" s="116">
        <v>3.59934856960874E-3</v>
      </c>
      <c r="M826" s="111" t="s">
        <v>24</v>
      </c>
      <c r="N826" s="22">
        <v>0.118498116054793</v>
      </c>
    </row>
    <row r="827" spans="7:14" x14ac:dyDescent="0.45">
      <c r="G827" s="115">
        <v>7.9106561969422993E-5</v>
      </c>
      <c r="H827" s="133"/>
      <c r="I827" s="21">
        <v>9.8000000000000007</v>
      </c>
      <c r="J827" s="111" t="s">
        <v>24</v>
      </c>
      <c r="L827" s="116">
        <v>1.28548163200312E-3</v>
      </c>
      <c r="M827" s="111" t="s">
        <v>24</v>
      </c>
      <c r="N827" s="22">
        <v>3.9426895576119399E-2</v>
      </c>
    </row>
    <row r="828" spans="7:14" x14ac:dyDescent="0.45">
      <c r="G828" s="115">
        <v>3.9553280984711502E-4</v>
      </c>
      <c r="H828" s="133"/>
      <c r="I828" s="21">
        <v>7.4</v>
      </c>
      <c r="J828" s="111" t="s">
        <v>24</v>
      </c>
      <c r="L828" s="116">
        <v>3.4279510186750002E-4</v>
      </c>
      <c r="M828" s="111" t="s">
        <v>24</v>
      </c>
      <c r="N828" s="22">
        <v>9.48620263597434E-3</v>
      </c>
    </row>
    <row r="829" spans="7:14" x14ac:dyDescent="0.45">
      <c r="G829" s="115">
        <v>1.3843648344649001E-3</v>
      </c>
      <c r="H829" s="133"/>
      <c r="I829" s="21">
        <v>5.4</v>
      </c>
      <c r="J829" s="111" t="s">
        <v>24</v>
      </c>
      <c r="L829" s="116">
        <v>6.4274081600156199E-5</v>
      </c>
      <c r="M829" s="111" t="s">
        <v>24</v>
      </c>
      <c r="N829" s="22">
        <v>1.5200061097023301E-3</v>
      </c>
    </row>
    <row r="830" spans="7:14" x14ac:dyDescent="0.45">
      <c r="G830" s="115">
        <v>3.59934856960874E-3</v>
      </c>
      <c r="H830" s="133"/>
      <c r="I830" s="21">
        <v>3.8</v>
      </c>
      <c r="J830" s="111" t="s">
        <v>24</v>
      </c>
      <c r="L830" s="116">
        <v>7.5616566588419E-6</v>
      </c>
      <c r="M830" s="111" t="s">
        <v>24</v>
      </c>
      <c r="N830" s="22">
        <v>1.3557929896794999E-4</v>
      </c>
    </row>
    <row r="831" spans="7:14" x14ac:dyDescent="0.45">
      <c r="G831" s="115">
        <v>3.59934856960874E-3</v>
      </c>
      <c r="H831" s="133"/>
      <c r="I831" s="21">
        <v>3.8</v>
      </c>
      <c r="J831" s="111" t="s">
        <v>24</v>
      </c>
      <c r="L831" s="116">
        <v>4.2009203660232801E-7</v>
      </c>
      <c r="M831" s="111" t="s">
        <v>24</v>
      </c>
      <c r="N831" s="22">
        <v>2.8504928472799999E-6</v>
      </c>
    </row>
    <row r="832" spans="7:14" x14ac:dyDescent="0.45">
      <c r="G832" s="115">
        <v>1.3843648344649001E-3</v>
      </c>
      <c r="H832" s="133"/>
      <c r="I832" s="21">
        <v>5.4</v>
      </c>
      <c r="J832" s="111" t="s">
        <v>24</v>
      </c>
      <c r="L832" s="116">
        <v>5.8166589683399196E-7</v>
      </c>
      <c r="M832" s="111" t="s">
        <v>24</v>
      </c>
      <c r="N832" s="22">
        <v>3.99121163143E-6</v>
      </c>
    </row>
    <row r="833" spans="7:14" x14ac:dyDescent="0.45">
      <c r="G833" s="115">
        <v>3.9553280984711502E-4</v>
      </c>
      <c r="H833" s="133"/>
      <c r="I833" s="21">
        <v>7.4</v>
      </c>
      <c r="J833" s="111" t="s">
        <v>24</v>
      </c>
      <c r="L833" s="116">
        <v>9.8883202461778708E-6</v>
      </c>
      <c r="M833" s="111" t="s">
        <v>24</v>
      </c>
      <c r="N833" s="22">
        <v>1.7898502532681001E-4</v>
      </c>
    </row>
    <row r="834" spans="7:14" x14ac:dyDescent="0.45">
      <c r="G834" s="115">
        <v>7.9106561969422993E-5</v>
      </c>
      <c r="H834" s="133"/>
      <c r="I834" s="21">
        <v>9.8000000000000007</v>
      </c>
      <c r="J834" s="111" t="s">
        <v>24</v>
      </c>
      <c r="L834" s="116">
        <v>7.9106561969422993E-5</v>
      </c>
      <c r="M834" s="111" t="s">
        <v>24</v>
      </c>
      <c r="N834" s="22">
        <v>1.8849834558998201E-3</v>
      </c>
    </row>
    <row r="835" spans="7:14" x14ac:dyDescent="0.45">
      <c r="G835" s="115">
        <v>9.8883202461778708E-6</v>
      </c>
      <c r="H835" s="133"/>
      <c r="I835" s="21">
        <v>12.6</v>
      </c>
      <c r="J835" s="111" t="s">
        <v>24</v>
      </c>
      <c r="L835" s="116">
        <v>3.9553280984711502E-4</v>
      </c>
      <c r="M835" s="111" t="s">
        <v>24</v>
      </c>
      <c r="N835" s="22">
        <v>1.1004749377263499E-2</v>
      </c>
    </row>
    <row r="836" spans="7:14" x14ac:dyDescent="0.45">
      <c r="G836" s="115">
        <v>5.8166589683399196E-7</v>
      </c>
      <c r="H836" s="133"/>
      <c r="I836" s="21">
        <v>15.8</v>
      </c>
      <c r="J836" s="111" t="s">
        <v>24</v>
      </c>
      <c r="L836" s="116">
        <v>1.3843648344649001E-3</v>
      </c>
      <c r="M836" s="111" t="s">
        <v>24</v>
      </c>
      <c r="N836" s="22">
        <v>4.2582668608782702E-2</v>
      </c>
    </row>
    <row r="837" spans="7:14" x14ac:dyDescent="0.45">
      <c r="G837" s="115">
        <v>7.0630858901270501E-7</v>
      </c>
      <c r="H837" s="133"/>
      <c r="I837" s="21">
        <v>15.2</v>
      </c>
      <c r="J837" s="111" t="s">
        <v>24</v>
      </c>
      <c r="L837" s="116">
        <v>3.59934856960874E-3</v>
      </c>
      <c r="M837" s="111" t="s">
        <v>24</v>
      </c>
      <c r="N837" s="22">
        <v>0.118498116054793</v>
      </c>
    </row>
    <row r="838" spans="7:14" x14ac:dyDescent="0.45">
      <c r="G838" s="115">
        <v>1.1300937424203301E-5</v>
      </c>
      <c r="H838" s="133"/>
      <c r="I838" s="21">
        <v>12.2</v>
      </c>
      <c r="J838" s="111" t="s">
        <v>24</v>
      </c>
      <c r="L838" s="116">
        <v>7.1986971392174904E-3</v>
      </c>
      <c r="M838" s="111" t="s">
        <v>24</v>
      </c>
      <c r="N838" s="22">
        <v>0.24803295134195899</v>
      </c>
    </row>
    <row r="839" spans="7:14" x14ac:dyDescent="0.45">
      <c r="G839" s="115">
        <v>8.4757030681524597E-5</v>
      </c>
      <c r="H839" s="133"/>
      <c r="I839" s="21">
        <v>9.6</v>
      </c>
      <c r="J839" s="111" t="s">
        <v>24</v>
      </c>
      <c r="L839" s="116">
        <v>7.1986971392174904E-3</v>
      </c>
      <c r="M839" s="111" t="s">
        <v>24</v>
      </c>
      <c r="N839" s="22">
        <v>0.24803295134195899</v>
      </c>
    </row>
    <row r="840" spans="7:14" x14ac:dyDescent="0.45">
      <c r="G840" s="115">
        <v>3.9553280984711502E-4</v>
      </c>
      <c r="H840" s="133"/>
      <c r="I840" s="21">
        <v>7.4</v>
      </c>
      <c r="J840" s="111" t="s">
        <v>24</v>
      </c>
      <c r="L840" s="116">
        <v>3.59934856960874E-3</v>
      </c>
      <c r="M840" s="111" t="s">
        <v>24</v>
      </c>
      <c r="N840" s="22">
        <v>0.118498116054793</v>
      </c>
    </row>
    <row r="841" spans="7:14" x14ac:dyDescent="0.45">
      <c r="G841" s="115">
        <v>1.28548163200312E-3</v>
      </c>
      <c r="H841" s="133"/>
      <c r="I841" s="21">
        <v>5.6</v>
      </c>
      <c r="J841" s="111" t="s">
        <v>24</v>
      </c>
      <c r="L841" s="116">
        <v>1.3843648344649001E-3</v>
      </c>
      <c r="M841" s="111" t="s">
        <v>24</v>
      </c>
      <c r="N841" s="22">
        <v>4.2582668608782702E-2</v>
      </c>
    </row>
    <row r="842" spans="7:14" x14ac:dyDescent="0.45">
      <c r="G842" s="115">
        <v>3.0851559168075002E-3</v>
      </c>
      <c r="H842" s="133"/>
      <c r="I842" s="21">
        <v>4.2</v>
      </c>
      <c r="J842" s="111" t="s">
        <v>24</v>
      </c>
      <c r="L842" s="116">
        <v>3.9553280984711502E-4</v>
      </c>
      <c r="M842" s="111" t="s">
        <v>24</v>
      </c>
      <c r="N842" s="22">
        <v>1.1004749377263499E-2</v>
      </c>
    </row>
    <row r="843" spans="7:14" x14ac:dyDescent="0.45">
      <c r="G843" s="115">
        <v>5.6561191808137401E-3</v>
      </c>
      <c r="H843" s="133"/>
      <c r="I843" s="21">
        <v>3.2</v>
      </c>
      <c r="J843" s="111" t="s">
        <v>24</v>
      </c>
      <c r="L843" s="116">
        <v>7.9106561969422993E-5</v>
      </c>
      <c r="M843" s="111" t="s">
        <v>24</v>
      </c>
      <c r="N843" s="22">
        <v>1.8849834558998201E-3</v>
      </c>
    </row>
    <row r="844" spans="7:14" x14ac:dyDescent="0.45">
      <c r="G844" s="115">
        <v>5.6561191808137401E-3</v>
      </c>
      <c r="H844" s="133"/>
      <c r="I844" s="21">
        <v>3.2</v>
      </c>
      <c r="J844" s="111" t="s">
        <v>24</v>
      </c>
      <c r="L844" s="116">
        <v>9.8883202461778708E-6</v>
      </c>
      <c r="M844" s="111" t="s">
        <v>24</v>
      </c>
      <c r="N844" s="22">
        <v>1.7898502532681001E-4</v>
      </c>
    </row>
    <row r="845" spans="7:14" x14ac:dyDescent="0.45">
      <c r="G845" s="115">
        <v>3.0851559168075002E-3</v>
      </c>
      <c r="H845" s="133"/>
      <c r="I845" s="21">
        <v>4.2</v>
      </c>
      <c r="J845" s="111" t="s">
        <v>24</v>
      </c>
      <c r="L845" s="116">
        <v>5.8166589683399196E-7</v>
      </c>
      <c r="M845" s="111" t="s">
        <v>24</v>
      </c>
      <c r="N845" s="22">
        <v>3.99121163143E-6</v>
      </c>
    </row>
    <row r="846" spans="7:14" x14ac:dyDescent="0.45">
      <c r="G846" s="115">
        <v>1.28548163200312E-3</v>
      </c>
      <c r="H846" s="133"/>
      <c r="I846" s="21">
        <v>5.6</v>
      </c>
      <c r="J846" s="111" t="s">
        <v>24</v>
      </c>
      <c r="L846" s="116">
        <v>7.0630858901270501E-7</v>
      </c>
      <c r="M846" s="111" t="s">
        <v>24</v>
      </c>
      <c r="N846" s="22">
        <v>4.8785164979900002E-6</v>
      </c>
    </row>
    <row r="847" spans="7:14" x14ac:dyDescent="0.45">
      <c r="G847" s="115">
        <v>3.9553280984711502E-4</v>
      </c>
      <c r="H847" s="133"/>
      <c r="I847" s="21">
        <v>7.4</v>
      </c>
      <c r="J847" s="111" t="s">
        <v>24</v>
      </c>
      <c r="L847" s="116">
        <v>1.1300937424203301E-5</v>
      </c>
      <c r="M847" s="111" t="s">
        <v>24</v>
      </c>
      <c r="N847" s="22">
        <v>2.0551267618633E-4</v>
      </c>
    </row>
    <row r="848" spans="7:14" x14ac:dyDescent="0.45">
      <c r="G848" s="115">
        <v>8.4757030681524597E-5</v>
      </c>
      <c r="H848" s="133"/>
      <c r="I848" s="21">
        <v>9.6</v>
      </c>
      <c r="J848" s="111" t="s">
        <v>24</v>
      </c>
      <c r="L848" s="116">
        <v>8.4757030681524597E-5</v>
      </c>
      <c r="M848" s="111" t="s">
        <v>24</v>
      </c>
      <c r="N848" s="22">
        <v>2.0246735515592499E-3</v>
      </c>
    </row>
    <row r="849" spans="7:14" x14ac:dyDescent="0.45">
      <c r="G849" s="115">
        <v>1.1300937424203301E-5</v>
      </c>
      <c r="H849" s="133"/>
      <c r="I849" s="21">
        <v>12.2</v>
      </c>
      <c r="J849" s="111" t="s">
        <v>24</v>
      </c>
      <c r="L849" s="116">
        <v>3.9553280984711502E-4</v>
      </c>
      <c r="M849" s="111" t="s">
        <v>24</v>
      </c>
      <c r="N849" s="22">
        <v>1.1004749377263499E-2</v>
      </c>
    </row>
    <row r="850" spans="7:14" x14ac:dyDescent="0.45">
      <c r="G850" s="115">
        <v>7.0630858901270501E-7</v>
      </c>
      <c r="H850" s="133"/>
      <c r="I850" s="21">
        <v>15.2</v>
      </c>
      <c r="J850" s="111" t="s">
        <v>24</v>
      </c>
      <c r="L850" s="116">
        <v>1.28548163200312E-3</v>
      </c>
      <c r="M850" s="111" t="s">
        <v>24</v>
      </c>
      <c r="N850" s="22">
        <v>3.9426895576119399E-2</v>
      </c>
    </row>
    <row r="851" spans="7:14" x14ac:dyDescent="0.45">
      <c r="G851" s="115">
        <v>7.53395828280219E-7</v>
      </c>
      <c r="H851" s="133"/>
      <c r="I851" s="21">
        <v>15</v>
      </c>
      <c r="J851" s="111" t="s">
        <v>24</v>
      </c>
      <c r="L851" s="116">
        <v>3.0851559168075002E-3</v>
      </c>
      <c r="M851" s="111" t="s">
        <v>24</v>
      </c>
      <c r="N851" s="22">
        <v>0.100934106318291</v>
      </c>
    </row>
    <row r="852" spans="7:14" x14ac:dyDescent="0.45">
      <c r="G852" s="115">
        <v>1.1300937424203301E-5</v>
      </c>
      <c r="H852" s="133"/>
      <c r="I852" s="21">
        <v>12.2</v>
      </c>
      <c r="J852" s="111" t="s">
        <v>24</v>
      </c>
      <c r="L852" s="116">
        <v>5.6561191808137401E-3</v>
      </c>
      <c r="M852" s="111" t="s">
        <v>24</v>
      </c>
      <c r="N852" s="22">
        <v>0.192885685223364</v>
      </c>
    </row>
    <row r="853" spans="7:14" x14ac:dyDescent="0.45">
      <c r="G853" s="115">
        <v>7.9106561969422993E-5</v>
      </c>
      <c r="H853" s="133"/>
      <c r="I853" s="21">
        <v>9.8000000000000007</v>
      </c>
      <c r="J853" s="111" t="s">
        <v>24</v>
      </c>
      <c r="L853" s="116">
        <v>5.6561191808137401E-3</v>
      </c>
      <c r="M853" s="111" t="s">
        <v>24</v>
      </c>
      <c r="N853" s="22">
        <v>0.192885685223364</v>
      </c>
    </row>
    <row r="854" spans="7:14" x14ac:dyDescent="0.45">
      <c r="G854" s="115">
        <v>3.4279510186750002E-4</v>
      </c>
      <c r="H854" s="133"/>
      <c r="I854" s="21">
        <v>7.8</v>
      </c>
      <c r="J854" s="111" t="s">
        <v>24</v>
      </c>
      <c r="L854" s="116">
        <v>3.0851559168075002E-3</v>
      </c>
      <c r="M854" s="111" t="s">
        <v>24</v>
      </c>
      <c r="N854" s="22">
        <v>0.100934106318291</v>
      </c>
    </row>
    <row r="855" spans="7:14" x14ac:dyDescent="0.45">
      <c r="G855" s="115">
        <v>1.0283853056025001E-3</v>
      </c>
      <c r="H855" s="133"/>
      <c r="I855" s="21">
        <v>6.2</v>
      </c>
      <c r="J855" s="111" t="s">
        <v>24</v>
      </c>
      <c r="L855" s="116">
        <v>1.28548163200312E-3</v>
      </c>
      <c r="M855" s="111" t="s">
        <v>24</v>
      </c>
      <c r="N855" s="22">
        <v>3.9426895576119399E-2</v>
      </c>
    </row>
    <row r="856" spans="7:14" x14ac:dyDescent="0.45">
      <c r="G856" s="115">
        <v>2.2624476723254999E-3</v>
      </c>
      <c r="H856" s="133"/>
      <c r="I856" s="21">
        <v>5</v>
      </c>
      <c r="J856" s="111" t="s">
        <v>24</v>
      </c>
      <c r="L856" s="116">
        <v>3.9553280984711502E-4</v>
      </c>
      <c r="M856" s="111" t="s">
        <v>24</v>
      </c>
      <c r="N856" s="22">
        <v>1.1004749377263499E-2</v>
      </c>
    </row>
    <row r="857" spans="7:14" x14ac:dyDescent="0.45">
      <c r="G857" s="115">
        <v>3.7707461205424898E-3</v>
      </c>
      <c r="H857" s="133"/>
      <c r="I857" s="21">
        <v>4.2</v>
      </c>
      <c r="J857" s="111" t="s">
        <v>24</v>
      </c>
      <c r="L857" s="116">
        <v>8.4757030681524597E-5</v>
      </c>
      <c r="M857" s="111" t="s">
        <v>24</v>
      </c>
      <c r="N857" s="22">
        <v>2.0246735515592499E-3</v>
      </c>
    </row>
    <row r="858" spans="7:14" x14ac:dyDescent="0.45">
      <c r="G858" s="115">
        <v>4.8481021549832103E-3</v>
      </c>
      <c r="H858" s="133"/>
      <c r="I858" s="21">
        <v>3.8</v>
      </c>
      <c r="J858" s="111" t="s">
        <v>24</v>
      </c>
      <c r="L858" s="116">
        <v>1.1300937424203301E-5</v>
      </c>
      <c r="M858" s="111" t="s">
        <v>24</v>
      </c>
      <c r="N858" s="22">
        <v>2.0551267618633E-4</v>
      </c>
    </row>
    <row r="859" spans="7:14" x14ac:dyDescent="0.45">
      <c r="G859" s="115">
        <v>4.8481021549832103E-3</v>
      </c>
      <c r="H859" s="133"/>
      <c r="I859" s="21">
        <v>3.8</v>
      </c>
      <c r="J859" s="111" t="s">
        <v>24</v>
      </c>
      <c r="L859" s="116">
        <v>7.0630858901270501E-7</v>
      </c>
      <c r="M859" s="111" t="s">
        <v>24</v>
      </c>
      <c r="N859" s="22">
        <v>4.8785164979900002E-6</v>
      </c>
    </row>
    <row r="860" spans="7:14" x14ac:dyDescent="0.45">
      <c r="G860" s="115">
        <v>3.7707461205424898E-3</v>
      </c>
      <c r="H860" s="133"/>
      <c r="I860" s="21">
        <v>4.2</v>
      </c>
      <c r="J860" s="111" t="s">
        <v>24</v>
      </c>
      <c r="L860" s="116">
        <v>7.53395828280219E-7</v>
      </c>
      <c r="M860" s="111" t="s">
        <v>24</v>
      </c>
      <c r="N860" s="22">
        <v>5.21509505085E-6</v>
      </c>
    </row>
    <row r="861" spans="7:14" x14ac:dyDescent="0.45">
      <c r="G861" s="115">
        <v>2.2624476723254999E-3</v>
      </c>
      <c r="H861" s="133"/>
      <c r="I861" s="21">
        <v>5</v>
      </c>
      <c r="J861" s="111" t="s">
        <v>24</v>
      </c>
      <c r="L861" s="116">
        <v>1.1300937424203301E-5</v>
      </c>
      <c r="M861" s="111" t="s">
        <v>24</v>
      </c>
      <c r="N861" s="22">
        <v>2.0551267618633E-4</v>
      </c>
    </row>
    <row r="862" spans="7:14" x14ac:dyDescent="0.45">
      <c r="G862" s="115">
        <v>1.0283853056025001E-3</v>
      </c>
      <c r="H862" s="133"/>
      <c r="I862" s="21">
        <v>6.2</v>
      </c>
      <c r="J862" s="111" t="s">
        <v>24</v>
      </c>
      <c r="L862" s="116">
        <v>7.9106561969422993E-5</v>
      </c>
      <c r="M862" s="111" t="s">
        <v>24</v>
      </c>
      <c r="N862" s="22">
        <v>1.8849834558998201E-3</v>
      </c>
    </row>
    <row r="863" spans="7:14" x14ac:dyDescent="0.45">
      <c r="G863" s="115">
        <v>3.4279510186750002E-4</v>
      </c>
      <c r="H863" s="133"/>
      <c r="I863" s="21">
        <v>7.8</v>
      </c>
      <c r="J863" s="111" t="s">
        <v>24</v>
      </c>
      <c r="L863" s="116">
        <v>3.4279510186750002E-4</v>
      </c>
      <c r="M863" s="111" t="s">
        <v>24</v>
      </c>
      <c r="N863" s="22">
        <v>9.48620263597434E-3</v>
      </c>
    </row>
    <row r="864" spans="7:14" x14ac:dyDescent="0.45">
      <c r="G864" s="115">
        <v>7.9106561969422993E-5</v>
      </c>
      <c r="H864" s="133"/>
      <c r="I864" s="21">
        <v>9.8000000000000007</v>
      </c>
      <c r="J864" s="111" t="s">
        <v>24</v>
      </c>
      <c r="L864" s="116">
        <v>1.0283853056025001E-3</v>
      </c>
      <c r="M864" s="111" t="s">
        <v>24</v>
      </c>
      <c r="N864" s="22">
        <v>3.1265948781756099E-2</v>
      </c>
    </row>
    <row r="865" spans="7:14" x14ac:dyDescent="0.45">
      <c r="G865" s="115">
        <v>1.1300937424203301E-5</v>
      </c>
      <c r="H865" s="133"/>
      <c r="I865" s="21">
        <v>12.2</v>
      </c>
      <c r="J865" s="111" t="s">
        <v>24</v>
      </c>
      <c r="L865" s="116">
        <v>2.2624476723254999E-3</v>
      </c>
      <c r="M865" s="111" t="s">
        <v>24</v>
      </c>
      <c r="N865" s="22">
        <v>7.3077064336677294E-2</v>
      </c>
    </row>
    <row r="866" spans="7:14" x14ac:dyDescent="0.45">
      <c r="G866" s="115">
        <v>7.53395828280219E-7</v>
      </c>
      <c r="H866" s="133"/>
      <c r="I866" s="21">
        <v>15</v>
      </c>
      <c r="J866" s="111" t="s">
        <v>24</v>
      </c>
      <c r="L866" s="116">
        <v>3.7707461205424898E-3</v>
      </c>
      <c r="M866" s="111" t="s">
        <v>24</v>
      </c>
      <c r="N866" s="22">
        <v>0.12634004490193801</v>
      </c>
    </row>
    <row r="867" spans="7:14" x14ac:dyDescent="0.45">
      <c r="G867" s="115">
        <v>7.0630858901270501E-7</v>
      </c>
      <c r="H867" s="133"/>
      <c r="I867" s="21">
        <v>15.2</v>
      </c>
      <c r="J867" s="111" t="s">
        <v>24</v>
      </c>
      <c r="L867" s="116">
        <v>4.8481021549832103E-3</v>
      </c>
      <c r="M867" s="111" t="s">
        <v>24</v>
      </c>
      <c r="N867" s="22">
        <v>0.16528176355909799</v>
      </c>
    </row>
    <row r="868" spans="7:14" x14ac:dyDescent="0.45">
      <c r="G868" s="115">
        <v>9.8883202461778708E-6</v>
      </c>
      <c r="H868" s="133"/>
      <c r="I868" s="21">
        <v>12.6</v>
      </c>
      <c r="J868" s="111" t="s">
        <v>24</v>
      </c>
      <c r="L868" s="116">
        <v>4.8481021549832103E-3</v>
      </c>
      <c r="M868" s="111" t="s">
        <v>24</v>
      </c>
      <c r="N868" s="22">
        <v>0.16528176355909799</v>
      </c>
    </row>
    <row r="869" spans="7:14" x14ac:dyDescent="0.45">
      <c r="G869" s="115">
        <v>6.4274081600156199E-5</v>
      </c>
      <c r="H869" s="133"/>
      <c r="I869" s="21">
        <v>10.4</v>
      </c>
      <c r="J869" s="111" t="s">
        <v>24</v>
      </c>
      <c r="L869" s="116">
        <v>3.7707461205424898E-3</v>
      </c>
      <c r="M869" s="111" t="s">
        <v>24</v>
      </c>
      <c r="N869" s="22">
        <v>0.12634004490193801</v>
      </c>
    </row>
    <row r="870" spans="7:14" x14ac:dyDescent="0.45">
      <c r="G870" s="115">
        <v>2.5709632640062501E-4</v>
      </c>
      <c r="H870" s="133"/>
      <c r="I870" s="21">
        <v>8.6</v>
      </c>
      <c r="J870" s="111" t="s">
        <v>24</v>
      </c>
      <c r="L870" s="116">
        <v>2.2624476723254999E-3</v>
      </c>
      <c r="M870" s="111" t="s">
        <v>24</v>
      </c>
      <c r="N870" s="22">
        <v>7.3077064336677294E-2</v>
      </c>
    </row>
    <row r="871" spans="7:14" x14ac:dyDescent="0.45">
      <c r="G871" s="115">
        <v>7.0701489760171795E-4</v>
      </c>
      <c r="H871" s="133"/>
      <c r="I871" s="21">
        <v>7.2</v>
      </c>
      <c r="J871" s="111" t="s">
        <v>24</v>
      </c>
      <c r="L871" s="116">
        <v>1.0283853056025001E-3</v>
      </c>
      <c r="M871" s="111" t="s">
        <v>24</v>
      </c>
      <c r="N871" s="22">
        <v>3.1265948781756099E-2</v>
      </c>
    </row>
    <row r="872" spans="7:14" x14ac:dyDescent="0.45">
      <c r="G872" s="115">
        <v>1.41402979520344E-3</v>
      </c>
      <c r="H872" s="133"/>
      <c r="I872" s="21">
        <v>6.2</v>
      </c>
      <c r="J872" s="111" t="s">
        <v>24</v>
      </c>
      <c r="L872" s="116">
        <v>3.4279510186750002E-4</v>
      </c>
      <c r="M872" s="111" t="s">
        <v>24</v>
      </c>
      <c r="N872" s="22">
        <v>9.48620263597434E-3</v>
      </c>
    </row>
    <row r="873" spans="7:14" x14ac:dyDescent="0.45">
      <c r="G873" s="115">
        <v>2.1210446928051499E-3</v>
      </c>
      <c r="H873" s="133"/>
      <c r="I873" s="21">
        <v>5.6</v>
      </c>
      <c r="J873" s="111" t="s">
        <v>24</v>
      </c>
      <c r="L873" s="116">
        <v>7.9106561969422993E-5</v>
      </c>
      <c r="M873" s="111" t="s">
        <v>24</v>
      </c>
      <c r="N873" s="22">
        <v>1.8849834558998201E-3</v>
      </c>
    </row>
    <row r="874" spans="7:14" x14ac:dyDescent="0.45">
      <c r="G874" s="115">
        <v>2.4240510774915999E-3</v>
      </c>
      <c r="H874" s="133"/>
      <c r="I874" s="21">
        <v>5.4</v>
      </c>
      <c r="J874" s="111" t="s">
        <v>24</v>
      </c>
      <c r="L874" s="116">
        <v>1.1300937424203301E-5</v>
      </c>
      <c r="M874" s="111" t="s">
        <v>24</v>
      </c>
      <c r="N874" s="22">
        <v>2.0551267618633E-4</v>
      </c>
    </row>
    <row r="875" spans="7:14" x14ac:dyDescent="0.45">
      <c r="G875" s="115">
        <v>2.1210446928051499E-3</v>
      </c>
      <c r="H875" s="133"/>
      <c r="I875" s="21">
        <v>5.6</v>
      </c>
      <c r="J875" s="111" t="s">
        <v>24</v>
      </c>
      <c r="L875" s="116">
        <v>7.53395828280219E-7</v>
      </c>
      <c r="M875" s="111" t="s">
        <v>24</v>
      </c>
      <c r="N875" s="22">
        <v>5.21509505085E-6</v>
      </c>
    </row>
    <row r="876" spans="7:14" x14ac:dyDescent="0.45">
      <c r="G876" s="115">
        <v>1.41402979520344E-3</v>
      </c>
      <c r="H876" s="133"/>
      <c r="I876" s="21">
        <v>6.2</v>
      </c>
      <c r="J876" s="111" t="s">
        <v>24</v>
      </c>
      <c r="L876" s="116">
        <v>7.0630858901270501E-7</v>
      </c>
      <c r="M876" s="111" t="s">
        <v>24</v>
      </c>
      <c r="N876" s="22">
        <v>4.8785164979900002E-6</v>
      </c>
    </row>
    <row r="877" spans="7:14" x14ac:dyDescent="0.45">
      <c r="G877" s="115">
        <v>7.0701489760171795E-4</v>
      </c>
      <c r="H877" s="133"/>
      <c r="I877" s="21">
        <v>7.2</v>
      </c>
      <c r="J877" s="111" t="s">
        <v>24</v>
      </c>
      <c r="L877" s="116">
        <v>9.8883202461778708E-6</v>
      </c>
      <c r="M877" s="111" t="s">
        <v>24</v>
      </c>
      <c r="N877" s="22">
        <v>1.7898502532681001E-4</v>
      </c>
    </row>
    <row r="878" spans="7:14" x14ac:dyDescent="0.45">
      <c r="G878" s="115">
        <v>2.5709632640062501E-4</v>
      </c>
      <c r="H878" s="133"/>
      <c r="I878" s="21">
        <v>8.6</v>
      </c>
      <c r="J878" s="111" t="s">
        <v>24</v>
      </c>
      <c r="L878" s="116">
        <v>6.4274081600156199E-5</v>
      </c>
      <c r="M878" s="111" t="s">
        <v>24</v>
      </c>
      <c r="N878" s="22">
        <v>1.5200061097023301E-3</v>
      </c>
    </row>
    <row r="879" spans="7:14" x14ac:dyDescent="0.45">
      <c r="G879" s="115">
        <v>6.4274081600156199E-5</v>
      </c>
      <c r="H879" s="133"/>
      <c r="I879" s="21">
        <v>10.4</v>
      </c>
      <c r="J879" s="111" t="s">
        <v>24</v>
      </c>
      <c r="L879" s="116">
        <v>2.5709632640062501E-4</v>
      </c>
      <c r="M879" s="111" t="s">
        <v>24</v>
      </c>
      <c r="N879" s="22">
        <v>7.0371527270489198E-3</v>
      </c>
    </row>
    <row r="880" spans="7:14" x14ac:dyDescent="0.45">
      <c r="G880" s="115">
        <v>9.8883202461778708E-6</v>
      </c>
      <c r="H880" s="133"/>
      <c r="I880" s="21">
        <v>12.6</v>
      </c>
      <c r="J880" s="111" t="s">
        <v>24</v>
      </c>
      <c r="L880" s="116">
        <v>7.0701489760171795E-4</v>
      </c>
      <c r="M880" s="111" t="s">
        <v>24</v>
      </c>
      <c r="N880" s="22">
        <v>2.1175823681357502E-2</v>
      </c>
    </row>
    <row r="881" spans="7:14" x14ac:dyDescent="0.45">
      <c r="G881" s="115">
        <v>7.0630858901270501E-7</v>
      </c>
      <c r="H881" s="133"/>
      <c r="I881" s="21">
        <v>15.2</v>
      </c>
      <c r="J881" s="111" t="s">
        <v>24</v>
      </c>
      <c r="L881" s="116">
        <v>1.41402979520344E-3</v>
      </c>
      <c r="M881" s="111" t="s">
        <v>24</v>
      </c>
      <c r="N881" s="22">
        <v>4.4776245067844202E-2</v>
      </c>
    </row>
    <row r="882" spans="7:14" x14ac:dyDescent="0.45">
      <c r="G882" s="115">
        <v>5.8166589683399196E-7</v>
      </c>
      <c r="H882" s="133"/>
      <c r="I882" s="21">
        <v>15.8</v>
      </c>
      <c r="J882" s="111" t="s">
        <v>24</v>
      </c>
      <c r="L882" s="116">
        <v>2.1210446928051499E-3</v>
      </c>
      <c r="M882" s="111" t="s">
        <v>24</v>
      </c>
      <c r="N882" s="22">
        <v>6.9255278373312398E-2</v>
      </c>
    </row>
    <row r="883" spans="7:14" x14ac:dyDescent="0.45">
      <c r="G883" s="115">
        <v>7.5616566588419E-6</v>
      </c>
      <c r="H883" s="133"/>
      <c r="I883" s="21">
        <v>13.4</v>
      </c>
      <c r="J883" s="111" t="s">
        <v>24</v>
      </c>
      <c r="L883" s="116">
        <v>2.4240510774915999E-3</v>
      </c>
      <c r="M883" s="111" t="s">
        <v>24</v>
      </c>
      <c r="N883" s="22">
        <v>7.9929614303087204E-2</v>
      </c>
    </row>
    <row r="884" spans="7:14" x14ac:dyDescent="0.45">
      <c r="G884" s="115">
        <v>4.53699399530514E-5</v>
      </c>
      <c r="H884" s="133"/>
      <c r="I884" s="21">
        <v>11.4</v>
      </c>
      <c r="J884" s="111" t="s">
        <v>24</v>
      </c>
      <c r="L884" s="116">
        <v>2.1210446928051499E-3</v>
      </c>
      <c r="M884" s="111" t="s">
        <v>24</v>
      </c>
      <c r="N884" s="22">
        <v>6.9255278373312398E-2</v>
      </c>
    </row>
    <row r="885" spans="7:14" x14ac:dyDescent="0.45">
      <c r="G885" s="115">
        <v>1.6635644649452201E-4</v>
      </c>
      <c r="H885" s="133"/>
      <c r="I885" s="21">
        <v>9.8000000000000007</v>
      </c>
      <c r="J885" s="111" t="s">
        <v>24</v>
      </c>
      <c r="L885" s="116">
        <v>1.41402979520344E-3</v>
      </c>
      <c r="M885" s="111" t="s">
        <v>24</v>
      </c>
      <c r="N885" s="22">
        <v>4.4776245067844202E-2</v>
      </c>
    </row>
    <row r="886" spans="7:14" x14ac:dyDescent="0.45">
      <c r="G886" s="115">
        <v>4.1589111623630502E-4</v>
      </c>
      <c r="H886" s="133"/>
      <c r="I886" s="21">
        <v>8.6</v>
      </c>
      <c r="J886" s="111" t="s">
        <v>24</v>
      </c>
      <c r="L886" s="116">
        <v>7.0701489760171795E-4</v>
      </c>
      <c r="M886" s="111" t="s">
        <v>24</v>
      </c>
      <c r="N886" s="22">
        <v>2.1175823681357502E-2</v>
      </c>
    </row>
    <row r="887" spans="7:14" x14ac:dyDescent="0.45">
      <c r="G887" s="115">
        <v>7.4860400922534796E-4</v>
      </c>
      <c r="H887" s="133"/>
      <c r="I887" s="21">
        <v>7.8</v>
      </c>
      <c r="J887" s="111" t="s">
        <v>24</v>
      </c>
      <c r="L887" s="116">
        <v>2.5709632640062501E-4</v>
      </c>
      <c r="M887" s="111" t="s">
        <v>24</v>
      </c>
      <c r="N887" s="22">
        <v>7.0371527270489198E-3</v>
      </c>
    </row>
    <row r="888" spans="7:14" x14ac:dyDescent="0.45">
      <c r="G888" s="115">
        <v>9.9813867896713098E-4</v>
      </c>
      <c r="H888" s="133"/>
      <c r="I888" s="21">
        <v>7.4</v>
      </c>
      <c r="J888" s="111" t="s">
        <v>24</v>
      </c>
      <c r="L888" s="116">
        <v>6.4274081600156199E-5</v>
      </c>
      <c r="M888" s="111" t="s">
        <v>24</v>
      </c>
      <c r="N888" s="22">
        <v>1.5200061097023301E-3</v>
      </c>
    </row>
    <row r="889" spans="7:14" x14ac:dyDescent="0.45">
      <c r="G889" s="115">
        <v>9.9813867896713098E-4</v>
      </c>
      <c r="H889" s="133"/>
      <c r="I889" s="21">
        <v>7.4</v>
      </c>
      <c r="J889" s="111" t="s">
        <v>24</v>
      </c>
      <c r="L889" s="116">
        <v>9.8883202461778708E-6</v>
      </c>
      <c r="M889" s="111" t="s">
        <v>24</v>
      </c>
      <c r="N889" s="22">
        <v>1.7898502532681001E-4</v>
      </c>
    </row>
    <row r="890" spans="7:14" x14ac:dyDescent="0.45">
      <c r="G890" s="115">
        <v>7.4860400922534796E-4</v>
      </c>
      <c r="H890" s="133"/>
      <c r="I890" s="21">
        <v>7.8</v>
      </c>
      <c r="J890" s="111" t="s">
        <v>24</v>
      </c>
      <c r="L890" s="116">
        <v>7.0630858901270501E-7</v>
      </c>
      <c r="M890" s="111" t="s">
        <v>24</v>
      </c>
      <c r="N890" s="22">
        <v>4.8785164979900002E-6</v>
      </c>
    </row>
    <row r="891" spans="7:14" x14ac:dyDescent="0.45">
      <c r="G891" s="115">
        <v>4.1589111623630502E-4</v>
      </c>
      <c r="H891" s="133"/>
      <c r="I891" s="21">
        <v>8.6</v>
      </c>
      <c r="J891" s="111" t="s">
        <v>24</v>
      </c>
      <c r="L891" s="116">
        <v>5.8166589683399196E-7</v>
      </c>
      <c r="M891" s="111" t="s">
        <v>24</v>
      </c>
      <c r="N891" s="22">
        <v>3.99121163143E-6</v>
      </c>
    </row>
    <row r="892" spans="7:14" x14ac:dyDescent="0.45">
      <c r="G892" s="115">
        <v>1.6635644649452201E-4</v>
      </c>
      <c r="H892" s="133"/>
      <c r="I892" s="21">
        <v>9.8000000000000007</v>
      </c>
      <c r="J892" s="111" t="s">
        <v>24</v>
      </c>
      <c r="L892" s="116">
        <v>7.5616566588419E-6</v>
      </c>
      <c r="M892" s="111" t="s">
        <v>24</v>
      </c>
      <c r="N892" s="22">
        <v>1.3557929896794999E-4</v>
      </c>
    </row>
    <row r="893" spans="7:14" x14ac:dyDescent="0.45">
      <c r="G893" s="115">
        <v>4.53699399530514E-5</v>
      </c>
      <c r="H893" s="133"/>
      <c r="I893" s="21">
        <v>11.4</v>
      </c>
      <c r="J893" s="111" t="s">
        <v>24</v>
      </c>
      <c r="L893" s="116">
        <v>4.53699399530514E-5</v>
      </c>
      <c r="M893" s="111" t="s">
        <v>24</v>
      </c>
      <c r="N893" s="22">
        <v>1.0592264292183099E-3</v>
      </c>
    </row>
    <row r="894" spans="7:14" x14ac:dyDescent="0.45">
      <c r="G894" s="115">
        <v>7.5616566588419E-6</v>
      </c>
      <c r="H894" s="133"/>
      <c r="I894" s="21">
        <v>13.4</v>
      </c>
      <c r="J894" s="111" t="s">
        <v>24</v>
      </c>
      <c r="L894" s="116">
        <v>1.6635644649452201E-4</v>
      </c>
      <c r="M894" s="111" t="s">
        <v>24</v>
      </c>
      <c r="N894" s="22">
        <v>4.4771801788977697E-3</v>
      </c>
    </row>
    <row r="895" spans="7:14" x14ac:dyDescent="0.45">
      <c r="G895" s="115">
        <v>5.8166589683399196E-7</v>
      </c>
      <c r="H895" s="133"/>
      <c r="I895" s="21">
        <v>15.8</v>
      </c>
      <c r="J895" s="111" t="s">
        <v>24</v>
      </c>
      <c r="L895" s="116">
        <v>4.1589111623630502E-4</v>
      </c>
      <c r="M895" s="111" t="s">
        <v>24</v>
      </c>
      <c r="N895" s="22">
        <v>1.21883743994015E-2</v>
      </c>
    </row>
    <row r="896" spans="7:14" x14ac:dyDescent="0.45">
      <c r="G896" s="115">
        <v>4.2009203660232801E-7</v>
      </c>
      <c r="H896" s="133"/>
      <c r="I896" s="21">
        <v>16.8</v>
      </c>
      <c r="J896" s="111" t="s">
        <v>24</v>
      </c>
      <c r="L896" s="116">
        <v>7.4860400922534796E-4</v>
      </c>
      <c r="M896" s="111" t="s">
        <v>24</v>
      </c>
      <c r="N896" s="22">
        <v>2.30567674313048E-2</v>
      </c>
    </row>
    <row r="897" spans="7:14" x14ac:dyDescent="0.45">
      <c r="G897" s="115">
        <v>5.0411044392279302E-6</v>
      </c>
      <c r="H897" s="133"/>
      <c r="I897" s="21">
        <v>14.6</v>
      </c>
      <c r="J897" s="111" t="s">
        <v>24</v>
      </c>
      <c r="L897" s="116">
        <v>9.9813867896713098E-4</v>
      </c>
      <c r="M897" s="111" t="s">
        <v>24</v>
      </c>
      <c r="N897" s="22">
        <v>3.1461147161434701E-2</v>
      </c>
    </row>
    <row r="898" spans="7:14" x14ac:dyDescent="0.45">
      <c r="G898" s="115">
        <v>2.7726074415753601E-5</v>
      </c>
      <c r="H898" s="133"/>
      <c r="I898" s="21">
        <v>12.8</v>
      </c>
      <c r="J898" s="111" t="s">
        <v>24</v>
      </c>
      <c r="L898" s="116">
        <v>9.9813867896713098E-4</v>
      </c>
      <c r="M898" s="111" t="s">
        <v>24</v>
      </c>
      <c r="N898" s="22">
        <v>3.1461147161434701E-2</v>
      </c>
    </row>
    <row r="899" spans="7:14" x14ac:dyDescent="0.45">
      <c r="G899" s="115">
        <v>9.2420248052512097E-5</v>
      </c>
      <c r="H899" s="133"/>
      <c r="I899" s="21">
        <v>11.4</v>
      </c>
      <c r="J899" s="111" t="s">
        <v>24</v>
      </c>
      <c r="L899" s="116">
        <v>7.4860400922534796E-4</v>
      </c>
      <c r="M899" s="111" t="s">
        <v>24</v>
      </c>
      <c r="N899" s="22">
        <v>2.30567674313048E-2</v>
      </c>
    </row>
    <row r="900" spans="7:14" x14ac:dyDescent="0.45">
      <c r="G900" s="115">
        <v>2.07945558118152E-4</v>
      </c>
      <c r="H900" s="133"/>
      <c r="I900" s="21">
        <v>10.4</v>
      </c>
      <c r="J900" s="111" t="s">
        <v>24</v>
      </c>
      <c r="L900" s="116">
        <v>4.1589111623630502E-4</v>
      </c>
      <c r="M900" s="111" t="s">
        <v>24</v>
      </c>
      <c r="N900" s="22">
        <v>1.21883743994015E-2</v>
      </c>
    </row>
    <row r="901" spans="7:14" x14ac:dyDescent="0.45">
      <c r="G901" s="115">
        <v>3.3271289298904402E-4</v>
      </c>
      <c r="H901" s="133"/>
      <c r="I901" s="21">
        <v>9.8000000000000007</v>
      </c>
      <c r="J901" s="111" t="s">
        <v>24</v>
      </c>
      <c r="L901" s="116">
        <v>1.6635644649452201E-4</v>
      </c>
      <c r="M901" s="111" t="s">
        <v>24</v>
      </c>
      <c r="N901" s="22">
        <v>4.4771801788977697E-3</v>
      </c>
    </row>
    <row r="902" spans="7:14" x14ac:dyDescent="0.45">
      <c r="G902" s="115">
        <v>3.8816504182055098E-4</v>
      </c>
      <c r="H902" s="133"/>
      <c r="I902" s="21">
        <v>9.6</v>
      </c>
      <c r="J902" s="111" t="s">
        <v>24</v>
      </c>
      <c r="L902" s="116">
        <v>4.53699399530514E-5</v>
      </c>
      <c r="M902" s="111" t="s">
        <v>24</v>
      </c>
      <c r="N902" s="22">
        <v>1.0592264292183099E-3</v>
      </c>
    </row>
    <row r="903" spans="7:14" x14ac:dyDescent="0.45">
      <c r="G903" s="115">
        <v>3.3271289298904402E-4</v>
      </c>
      <c r="H903" s="133"/>
      <c r="I903" s="21">
        <v>9.8000000000000007</v>
      </c>
      <c r="J903" s="111" t="s">
        <v>24</v>
      </c>
      <c r="L903" s="116">
        <v>7.5616566588419E-6</v>
      </c>
      <c r="M903" s="111" t="s">
        <v>24</v>
      </c>
      <c r="N903" s="22">
        <v>1.3557929896794999E-4</v>
      </c>
    </row>
    <row r="904" spans="7:14" x14ac:dyDescent="0.45">
      <c r="G904" s="115">
        <v>2.07945558118152E-4</v>
      </c>
      <c r="H904" s="133"/>
      <c r="I904" s="21">
        <v>10.4</v>
      </c>
      <c r="J904" s="111" t="s">
        <v>24</v>
      </c>
      <c r="L904" s="116">
        <v>5.8166589683399196E-7</v>
      </c>
      <c r="M904" s="111" t="s">
        <v>24</v>
      </c>
      <c r="N904" s="22">
        <v>3.99121163143E-6</v>
      </c>
    </row>
    <row r="905" spans="7:14" x14ac:dyDescent="0.45">
      <c r="G905" s="115">
        <v>9.2420248052512097E-5</v>
      </c>
      <c r="H905" s="133"/>
      <c r="I905" s="21">
        <v>11.4</v>
      </c>
      <c r="J905" s="111" t="s">
        <v>24</v>
      </c>
      <c r="L905" s="116">
        <v>4.2009203660232801E-7</v>
      </c>
      <c r="M905" s="111" t="s">
        <v>24</v>
      </c>
      <c r="N905" s="22">
        <v>2.8504928472799999E-6</v>
      </c>
    </row>
    <row r="906" spans="7:14" x14ac:dyDescent="0.45">
      <c r="G906" s="115">
        <v>2.7726074415753601E-5</v>
      </c>
      <c r="H906" s="133"/>
      <c r="I906" s="21">
        <v>12.8</v>
      </c>
      <c r="J906" s="111" t="s">
        <v>24</v>
      </c>
      <c r="L906" s="116">
        <v>5.0411044392279302E-6</v>
      </c>
      <c r="M906" s="111" t="s">
        <v>24</v>
      </c>
      <c r="N906" s="22">
        <v>8.9079007875550003E-5</v>
      </c>
    </row>
    <row r="907" spans="7:14" x14ac:dyDescent="0.45">
      <c r="G907" s="115">
        <v>5.0411044392279302E-6</v>
      </c>
      <c r="H907" s="133"/>
      <c r="I907" s="21">
        <v>14.6</v>
      </c>
      <c r="J907" s="111" t="s">
        <v>24</v>
      </c>
      <c r="L907" s="116">
        <v>2.7726074415753601E-5</v>
      </c>
      <c r="M907" s="111" t="s">
        <v>24</v>
      </c>
      <c r="N907" s="22">
        <v>6.3538201383358996E-4</v>
      </c>
    </row>
    <row r="908" spans="7:14" x14ac:dyDescent="0.45">
      <c r="G908" s="115">
        <v>4.2009203660232801E-7</v>
      </c>
      <c r="H908" s="133"/>
      <c r="I908" s="21">
        <v>16.8</v>
      </c>
      <c r="J908" s="111" t="s">
        <v>24</v>
      </c>
      <c r="L908" s="116">
        <v>9.2420248052512097E-5</v>
      </c>
      <c r="M908" s="111" t="s">
        <v>24</v>
      </c>
      <c r="N908" s="22">
        <v>2.4296770921707002E-3</v>
      </c>
    </row>
    <row r="909" spans="7:14" x14ac:dyDescent="0.45">
      <c r="G909" s="115">
        <v>2.65321286275154E-7</v>
      </c>
      <c r="H909" s="133"/>
      <c r="I909" s="21">
        <v>18.2</v>
      </c>
      <c r="J909" s="111" t="s">
        <v>24</v>
      </c>
      <c r="L909" s="116">
        <v>2.07945558118152E-4</v>
      </c>
      <c r="M909" s="111" t="s">
        <v>24</v>
      </c>
      <c r="N909" s="22">
        <v>5.9174561298786302E-3</v>
      </c>
    </row>
    <row r="910" spans="7:14" x14ac:dyDescent="0.45">
      <c r="G910" s="115">
        <v>2.9185341490266999E-6</v>
      </c>
      <c r="H910" s="133"/>
      <c r="I910" s="21">
        <v>16.2</v>
      </c>
      <c r="J910" s="111" t="s">
        <v>24</v>
      </c>
      <c r="L910" s="116">
        <v>3.3271289298904402E-4</v>
      </c>
      <c r="M910" s="111" t="s">
        <v>24</v>
      </c>
      <c r="N910" s="22">
        <v>9.8754889265890294E-3</v>
      </c>
    </row>
    <row r="911" spans="7:14" x14ac:dyDescent="0.45">
      <c r="G911" s="115">
        <v>1.4592670745133499E-5</v>
      </c>
      <c r="H911" s="133"/>
      <c r="I911" s="21">
        <v>14.6</v>
      </c>
      <c r="J911" s="111" t="s">
        <v>24</v>
      </c>
      <c r="L911" s="116">
        <v>3.8816504182055098E-4</v>
      </c>
      <c r="M911" s="111" t="s">
        <v>24</v>
      </c>
      <c r="N911" s="22">
        <v>1.1675618702440301E-2</v>
      </c>
    </row>
    <row r="912" spans="7:14" x14ac:dyDescent="0.45">
      <c r="G912" s="115">
        <v>4.3778012235400498E-5</v>
      </c>
      <c r="H912" s="133"/>
      <c r="I912" s="21">
        <v>13.4</v>
      </c>
      <c r="J912" s="111" t="s">
        <v>24</v>
      </c>
      <c r="L912" s="116">
        <v>3.3271289298904402E-4</v>
      </c>
      <c r="M912" s="111" t="s">
        <v>24</v>
      </c>
      <c r="N912" s="22">
        <v>9.8754889265890294E-3</v>
      </c>
    </row>
    <row r="913" spans="7:14" x14ac:dyDescent="0.45">
      <c r="G913" s="115">
        <v>8.7556024470800996E-5</v>
      </c>
      <c r="H913" s="133"/>
      <c r="I913" s="21">
        <v>12.6</v>
      </c>
      <c r="J913" s="111" t="s">
        <v>24</v>
      </c>
      <c r="L913" s="116">
        <v>2.07945558118152E-4</v>
      </c>
      <c r="M913" s="111" t="s">
        <v>24</v>
      </c>
      <c r="N913" s="22">
        <v>5.9174561298786302E-3</v>
      </c>
    </row>
    <row r="914" spans="7:14" x14ac:dyDescent="0.45">
      <c r="G914" s="115">
        <v>1.2257843425912099E-4</v>
      </c>
      <c r="H914" s="133"/>
      <c r="I914" s="21">
        <v>12.2</v>
      </c>
      <c r="J914" s="111" t="s">
        <v>24</v>
      </c>
      <c r="L914" s="116">
        <v>9.2420248052512097E-5</v>
      </c>
      <c r="M914" s="111" t="s">
        <v>24</v>
      </c>
      <c r="N914" s="22">
        <v>2.4296770921707002E-3</v>
      </c>
    </row>
    <row r="915" spans="7:14" x14ac:dyDescent="0.45">
      <c r="G915" s="115">
        <v>1.2257843425912099E-4</v>
      </c>
      <c r="H915" s="133"/>
      <c r="I915" s="21">
        <v>12.2</v>
      </c>
      <c r="J915" s="111" t="s">
        <v>24</v>
      </c>
      <c r="L915" s="116">
        <v>2.7726074415753601E-5</v>
      </c>
      <c r="M915" s="111" t="s">
        <v>24</v>
      </c>
      <c r="N915" s="22">
        <v>6.3538201383358996E-4</v>
      </c>
    </row>
    <row r="916" spans="7:14" x14ac:dyDescent="0.45">
      <c r="G916" s="115">
        <v>8.7556024470800996E-5</v>
      </c>
      <c r="H916" s="133"/>
      <c r="I916" s="21">
        <v>12.6</v>
      </c>
      <c r="J916" s="111" t="s">
        <v>24</v>
      </c>
      <c r="L916" s="116">
        <v>5.0411044392279302E-6</v>
      </c>
      <c r="M916" s="111" t="s">
        <v>24</v>
      </c>
      <c r="N916" s="22">
        <v>8.9079007875550003E-5</v>
      </c>
    </row>
    <row r="917" spans="7:14" x14ac:dyDescent="0.45">
      <c r="G917" s="115">
        <v>4.3778012235400498E-5</v>
      </c>
      <c r="H917" s="133"/>
      <c r="I917" s="21">
        <v>13.4</v>
      </c>
      <c r="J917" s="111" t="s">
        <v>24</v>
      </c>
      <c r="L917" s="116">
        <v>4.2009203660232801E-7</v>
      </c>
      <c r="M917" s="111" t="s">
        <v>24</v>
      </c>
      <c r="N917" s="22">
        <v>2.8504928472799999E-6</v>
      </c>
    </row>
    <row r="918" spans="7:14" x14ac:dyDescent="0.45">
      <c r="G918" s="115">
        <v>1.4592670745133499E-5</v>
      </c>
      <c r="H918" s="133"/>
      <c r="I918" s="21">
        <v>14.6</v>
      </c>
      <c r="J918" s="111" t="s">
        <v>24</v>
      </c>
      <c r="L918" s="116">
        <v>2.65321286275154E-7</v>
      </c>
      <c r="M918" s="111" t="s">
        <v>24</v>
      </c>
      <c r="N918" s="22">
        <v>1.7715852068E-6</v>
      </c>
    </row>
    <row r="919" spans="7:14" x14ac:dyDescent="0.45">
      <c r="G919" s="115">
        <v>2.9185341490266999E-6</v>
      </c>
      <c r="H919" s="133"/>
      <c r="I919" s="21">
        <v>16.2</v>
      </c>
      <c r="J919" s="111" t="s">
        <v>24</v>
      </c>
      <c r="L919" s="116">
        <v>2.9185341490266999E-6</v>
      </c>
      <c r="M919" s="111" t="s">
        <v>24</v>
      </c>
      <c r="N919" s="22">
        <v>5.0545393498239999E-5</v>
      </c>
    </row>
    <row r="920" spans="7:14" x14ac:dyDescent="0.45">
      <c r="G920" s="115">
        <v>2.65321286275154E-7</v>
      </c>
      <c r="H920" s="133"/>
      <c r="I920" s="21">
        <v>18.2</v>
      </c>
      <c r="J920" s="111" t="s">
        <v>24</v>
      </c>
      <c r="L920" s="116">
        <v>1.4592670745133499E-5</v>
      </c>
      <c r="M920" s="111" t="s">
        <v>24</v>
      </c>
      <c r="N920" s="22">
        <v>3.2616623883719001E-4</v>
      </c>
    </row>
    <row r="921" spans="7:14" x14ac:dyDescent="0.45">
      <c r="G921" s="115">
        <v>1.45926707451335E-7</v>
      </c>
      <c r="H921" s="133"/>
      <c r="I921" s="21">
        <v>20</v>
      </c>
      <c r="J921" s="111" t="s">
        <v>24</v>
      </c>
      <c r="L921" s="116">
        <v>4.3778012235400498E-5</v>
      </c>
      <c r="M921" s="111" t="s">
        <v>24</v>
      </c>
      <c r="N921" s="22">
        <v>1.1158297127758701E-3</v>
      </c>
    </row>
    <row r="922" spans="7:14" x14ac:dyDescent="0.45">
      <c r="G922" s="115">
        <v>1.45926707451335E-6</v>
      </c>
      <c r="H922" s="133"/>
      <c r="I922" s="21">
        <v>18.2</v>
      </c>
      <c r="J922" s="111" t="s">
        <v>24</v>
      </c>
      <c r="L922" s="116">
        <v>8.7556024470800996E-5</v>
      </c>
      <c r="M922" s="111" t="s">
        <v>24</v>
      </c>
      <c r="N922" s="22">
        <v>2.3974818965432801E-3</v>
      </c>
    </row>
    <row r="923" spans="7:14" x14ac:dyDescent="0.45">
      <c r="G923" s="115">
        <v>6.5667018353100701E-6</v>
      </c>
      <c r="H923" s="133"/>
      <c r="I923" s="21">
        <v>16.8</v>
      </c>
      <c r="J923" s="111" t="s">
        <v>24</v>
      </c>
      <c r="L923" s="116">
        <v>1.2257843425912099E-4</v>
      </c>
      <c r="M923" s="111" t="s">
        <v>24</v>
      </c>
      <c r="N923" s="22">
        <v>3.4667622426775399E-3</v>
      </c>
    </row>
    <row r="924" spans="7:14" x14ac:dyDescent="0.45">
      <c r="G924" s="115">
        <v>1.7511204894160201E-5</v>
      </c>
      <c r="H924" s="133"/>
      <c r="I924" s="21">
        <v>15.8</v>
      </c>
      <c r="J924" s="111" t="s">
        <v>24</v>
      </c>
      <c r="L924" s="116">
        <v>1.2257843425912099E-4</v>
      </c>
      <c r="M924" s="111" t="s">
        <v>24</v>
      </c>
      <c r="N924" s="22">
        <v>3.4667622426775399E-3</v>
      </c>
    </row>
    <row r="925" spans="7:14" x14ac:dyDescent="0.45">
      <c r="G925" s="115">
        <v>3.0644608564780302E-5</v>
      </c>
      <c r="H925" s="133"/>
      <c r="I925" s="21">
        <v>15.2</v>
      </c>
      <c r="J925" s="111" t="s">
        <v>24</v>
      </c>
      <c r="L925" s="116">
        <v>8.7556024470800996E-5</v>
      </c>
      <c r="M925" s="111" t="s">
        <v>24</v>
      </c>
      <c r="N925" s="22">
        <v>2.3974818965432801E-3</v>
      </c>
    </row>
    <row r="926" spans="7:14" x14ac:dyDescent="0.45">
      <c r="G926" s="115">
        <v>3.6773530277736403E-5</v>
      </c>
      <c r="H926" s="133"/>
      <c r="I926" s="21">
        <v>15</v>
      </c>
      <c r="J926" s="111" t="s">
        <v>24</v>
      </c>
      <c r="L926" s="116">
        <v>4.3778012235400498E-5</v>
      </c>
      <c r="M926" s="111" t="s">
        <v>24</v>
      </c>
      <c r="N926" s="22">
        <v>1.1158297127758701E-3</v>
      </c>
    </row>
    <row r="927" spans="7:14" x14ac:dyDescent="0.45">
      <c r="G927" s="115">
        <v>3.0644608564780302E-5</v>
      </c>
      <c r="H927" s="133"/>
      <c r="I927" s="21">
        <v>15.2</v>
      </c>
      <c r="J927" s="111" t="s">
        <v>24</v>
      </c>
      <c r="L927" s="116">
        <v>1.4592670745133499E-5</v>
      </c>
      <c r="M927" s="111" t="s">
        <v>24</v>
      </c>
      <c r="N927" s="22">
        <v>3.2616623883719001E-4</v>
      </c>
    </row>
    <row r="928" spans="7:14" x14ac:dyDescent="0.45">
      <c r="G928" s="115">
        <v>1.7511204894160201E-5</v>
      </c>
      <c r="H928" s="133"/>
      <c r="I928" s="21">
        <v>15.8</v>
      </c>
      <c r="J928" s="111" t="s">
        <v>24</v>
      </c>
      <c r="L928" s="116">
        <v>2.9185341490266999E-6</v>
      </c>
      <c r="M928" s="111" t="s">
        <v>24</v>
      </c>
      <c r="N928" s="22">
        <v>5.0545393498239999E-5</v>
      </c>
    </row>
    <row r="929" spans="7:14" x14ac:dyDescent="0.45">
      <c r="G929" s="115">
        <v>6.5667018353100701E-6</v>
      </c>
      <c r="H929" s="133"/>
      <c r="I929" s="21">
        <v>16.8</v>
      </c>
      <c r="J929" s="111" t="s">
        <v>24</v>
      </c>
      <c r="L929" s="116">
        <v>2.65321286275154E-7</v>
      </c>
      <c r="M929" s="111" t="s">
        <v>24</v>
      </c>
      <c r="N929" s="22">
        <v>1.7715852068E-6</v>
      </c>
    </row>
    <row r="930" spans="7:14" x14ac:dyDescent="0.45">
      <c r="G930" s="115">
        <v>1.45926707451335E-6</v>
      </c>
      <c r="H930" s="133"/>
      <c r="I930" s="21">
        <v>18.2</v>
      </c>
      <c r="J930" s="111" t="s">
        <v>24</v>
      </c>
      <c r="L930" s="116">
        <v>1.45926707451335E-7</v>
      </c>
      <c r="M930" s="111" t="s">
        <v>24</v>
      </c>
      <c r="N930" s="22">
        <v>9.5367431641000003E-7</v>
      </c>
    </row>
    <row r="931" spans="7:14" x14ac:dyDescent="0.45">
      <c r="G931" s="115">
        <v>1.45926707451335E-7</v>
      </c>
      <c r="H931" s="133"/>
      <c r="I931" s="21">
        <v>20</v>
      </c>
      <c r="J931" s="111" t="s">
        <v>24</v>
      </c>
      <c r="L931" s="116">
        <v>1.45926707451335E-6</v>
      </c>
      <c r="M931" s="111" t="s">
        <v>24</v>
      </c>
      <c r="N931" s="22">
        <v>2.4616001050119999E-5</v>
      </c>
    </row>
    <row r="932" spans="7:14" x14ac:dyDescent="0.45">
      <c r="G932" s="115">
        <v>6.9488908310159502E-8</v>
      </c>
      <c r="H932" s="133"/>
      <c r="I932" s="21">
        <v>22.2</v>
      </c>
      <c r="J932" s="111" t="s">
        <v>24</v>
      </c>
      <c r="L932" s="116">
        <v>6.5667018353100701E-6</v>
      </c>
      <c r="M932" s="111" t="s">
        <v>24</v>
      </c>
      <c r="N932" s="22">
        <v>1.4210854715202001E-4</v>
      </c>
    </row>
    <row r="933" spans="7:14" x14ac:dyDescent="0.45">
      <c r="G933" s="115">
        <v>6.2540017479143505E-7</v>
      </c>
      <c r="H933" s="133"/>
      <c r="I933" s="21">
        <v>20.6</v>
      </c>
      <c r="J933" s="111" t="s">
        <v>24</v>
      </c>
      <c r="L933" s="116">
        <v>1.7511204894160201E-5</v>
      </c>
      <c r="M933" s="111" t="s">
        <v>24</v>
      </c>
      <c r="N933" s="22">
        <v>4.2889407083793998E-4</v>
      </c>
    </row>
    <row r="934" spans="7:14" x14ac:dyDescent="0.45">
      <c r="G934" s="115">
        <v>2.5016006991657402E-6</v>
      </c>
      <c r="H934" s="133"/>
      <c r="I934" s="21">
        <v>19.399999999999999</v>
      </c>
      <c r="J934" s="111" t="s">
        <v>24</v>
      </c>
      <c r="L934" s="116">
        <v>3.0644608564780302E-5</v>
      </c>
      <c r="M934" s="111" t="s">
        <v>24</v>
      </c>
      <c r="N934" s="22">
        <v>7.9845899744124997E-4</v>
      </c>
    </row>
    <row r="935" spans="7:14" x14ac:dyDescent="0.45">
      <c r="G935" s="115">
        <v>5.8370682980533999E-6</v>
      </c>
      <c r="H935" s="133"/>
      <c r="I935" s="21">
        <v>18.600000000000001</v>
      </c>
      <c r="J935" s="111" t="s">
        <v>24</v>
      </c>
      <c r="L935" s="116">
        <v>3.6773530277736403E-5</v>
      </c>
      <c r="M935" s="111" t="s">
        <v>24</v>
      </c>
      <c r="N935" s="22">
        <v>9.765625E-4</v>
      </c>
    </row>
    <row r="936" spans="7:14" x14ac:dyDescent="0.45">
      <c r="G936" s="115">
        <v>8.7556024470801003E-6</v>
      </c>
      <c r="H936" s="133"/>
      <c r="I936" s="21">
        <v>18.2</v>
      </c>
      <c r="J936" s="111" t="s">
        <v>24</v>
      </c>
      <c r="L936" s="116">
        <v>3.0644608564780302E-5</v>
      </c>
      <c r="M936" s="111" t="s">
        <v>24</v>
      </c>
      <c r="N936" s="22">
        <v>7.9845899744124997E-4</v>
      </c>
    </row>
    <row r="937" spans="7:14" x14ac:dyDescent="0.45">
      <c r="G937" s="115">
        <v>8.7556024470801003E-6</v>
      </c>
      <c r="H937" s="133"/>
      <c r="I937" s="21">
        <v>18.2</v>
      </c>
      <c r="J937" s="111" t="s">
        <v>24</v>
      </c>
      <c r="L937" s="116">
        <v>1.7511204894160201E-5</v>
      </c>
      <c r="M937" s="111" t="s">
        <v>24</v>
      </c>
      <c r="N937" s="22">
        <v>4.2889407083793998E-4</v>
      </c>
    </row>
    <row r="938" spans="7:14" x14ac:dyDescent="0.45">
      <c r="G938" s="115">
        <v>5.8370682980533999E-6</v>
      </c>
      <c r="H938" s="133"/>
      <c r="I938" s="21">
        <v>18.600000000000001</v>
      </c>
      <c r="J938" s="111" t="s">
        <v>24</v>
      </c>
      <c r="L938" s="116">
        <v>6.5667018353100701E-6</v>
      </c>
      <c r="M938" s="111" t="s">
        <v>24</v>
      </c>
      <c r="N938" s="22">
        <v>1.4210854715202001E-4</v>
      </c>
    </row>
    <row r="939" spans="7:14" x14ac:dyDescent="0.45">
      <c r="G939" s="115">
        <v>2.5016006991657402E-6</v>
      </c>
      <c r="H939" s="133"/>
      <c r="I939" s="21">
        <v>19.399999999999999</v>
      </c>
      <c r="J939" s="111" t="s">
        <v>24</v>
      </c>
      <c r="L939" s="116">
        <v>1.45926707451335E-6</v>
      </c>
      <c r="M939" s="111" t="s">
        <v>24</v>
      </c>
      <c r="N939" s="22">
        <v>2.4616001050119999E-5</v>
      </c>
    </row>
    <row r="940" spans="7:14" x14ac:dyDescent="0.45">
      <c r="G940" s="115">
        <v>6.2540017479143505E-7</v>
      </c>
      <c r="H940" s="133"/>
      <c r="I940" s="21">
        <v>20.6</v>
      </c>
      <c r="J940" s="111" t="s">
        <v>24</v>
      </c>
      <c r="L940" s="116">
        <v>1.45926707451335E-7</v>
      </c>
      <c r="M940" s="111" t="s">
        <v>24</v>
      </c>
      <c r="N940" s="22">
        <v>9.5367431641000003E-7</v>
      </c>
    </row>
    <row r="941" spans="7:14" x14ac:dyDescent="0.45">
      <c r="G941" s="115">
        <v>6.9488908310159502E-8</v>
      </c>
      <c r="H941" s="133"/>
      <c r="I941" s="21">
        <v>22.2</v>
      </c>
      <c r="J941" s="111" t="s">
        <v>24</v>
      </c>
      <c r="L941" s="116">
        <v>6.9488908310159502E-8</v>
      </c>
      <c r="M941" s="111" t="s">
        <v>24</v>
      </c>
      <c r="N941" s="22">
        <v>4.4178628125000002E-7</v>
      </c>
    </row>
    <row r="942" spans="7:14" x14ac:dyDescent="0.45">
      <c r="G942" s="115">
        <v>2.8427280672338001E-8</v>
      </c>
      <c r="H942" s="133"/>
      <c r="I942" s="21">
        <v>24.8</v>
      </c>
      <c r="J942" s="111" t="s">
        <v>24</v>
      </c>
      <c r="L942" s="116">
        <v>6.2540017479143505E-7</v>
      </c>
      <c r="M942" s="111" t="s">
        <v>24</v>
      </c>
      <c r="N942" s="22">
        <v>1.020175559009E-5</v>
      </c>
    </row>
    <row r="943" spans="7:14" x14ac:dyDescent="0.45">
      <c r="G943" s="115">
        <v>2.27418245378704E-7</v>
      </c>
      <c r="H943" s="133"/>
      <c r="I943" s="21">
        <v>23.4</v>
      </c>
      <c r="J943" s="111" t="s">
        <v>24</v>
      </c>
      <c r="L943" s="116">
        <v>2.5016006991657402E-6</v>
      </c>
      <c r="M943" s="111" t="s">
        <v>24</v>
      </c>
      <c r="N943" s="22">
        <v>5.1957535038879999E-5</v>
      </c>
    </row>
    <row r="944" spans="7:14" x14ac:dyDescent="0.45">
      <c r="G944" s="115">
        <v>7.95963858825463E-7</v>
      </c>
      <c r="H944" s="133"/>
      <c r="I944" s="21">
        <v>22.4</v>
      </c>
      <c r="J944" s="111" t="s">
        <v>24</v>
      </c>
      <c r="L944" s="116">
        <v>5.8370682980533999E-6</v>
      </c>
      <c r="M944" s="111" t="s">
        <v>24</v>
      </c>
      <c r="N944" s="22">
        <v>1.358699902153E-4</v>
      </c>
    </row>
    <row r="945" spans="7:14" x14ac:dyDescent="0.45">
      <c r="G945" s="115">
        <v>1.59192771765093E-6</v>
      </c>
      <c r="H945" s="133"/>
      <c r="I945" s="21">
        <v>21.8</v>
      </c>
      <c r="J945" s="111" t="s">
        <v>24</v>
      </c>
      <c r="L945" s="116">
        <v>8.7556024470801003E-6</v>
      </c>
      <c r="M945" s="111" t="s">
        <v>24</v>
      </c>
      <c r="N945" s="22">
        <v>2.1394632139263E-4</v>
      </c>
    </row>
    <row r="946" spans="7:14" x14ac:dyDescent="0.45">
      <c r="G946" s="115">
        <v>1.9899096470636602E-6</v>
      </c>
      <c r="H946" s="133"/>
      <c r="I946" s="21">
        <v>21.6</v>
      </c>
      <c r="J946" s="111" t="s">
        <v>24</v>
      </c>
      <c r="L946" s="116">
        <v>8.7556024470801003E-6</v>
      </c>
      <c r="M946" s="111" t="s">
        <v>24</v>
      </c>
      <c r="N946" s="22">
        <v>2.1394632139263E-4</v>
      </c>
    </row>
    <row r="947" spans="7:14" x14ac:dyDescent="0.45">
      <c r="G947" s="115">
        <v>1.59192771765093E-6</v>
      </c>
      <c r="H947" s="133"/>
      <c r="I947" s="21">
        <v>21.8</v>
      </c>
      <c r="J947" s="111" t="s">
        <v>24</v>
      </c>
      <c r="L947" s="116">
        <v>5.8370682980533999E-6</v>
      </c>
      <c r="M947" s="111" t="s">
        <v>24</v>
      </c>
      <c r="N947" s="22">
        <v>1.358699902153E-4</v>
      </c>
    </row>
    <row r="948" spans="7:14" x14ac:dyDescent="0.45">
      <c r="G948" s="115">
        <v>7.95963858825463E-7</v>
      </c>
      <c r="H948" s="133"/>
      <c r="I948" s="21">
        <v>22.4</v>
      </c>
      <c r="J948" s="111" t="s">
        <v>24</v>
      </c>
      <c r="L948" s="116">
        <v>2.5016006991657402E-6</v>
      </c>
      <c r="M948" s="111" t="s">
        <v>24</v>
      </c>
      <c r="N948" s="22">
        <v>5.1957535038879999E-5</v>
      </c>
    </row>
    <row r="949" spans="7:14" x14ac:dyDescent="0.45">
      <c r="G949" s="115">
        <v>2.27418245378704E-7</v>
      </c>
      <c r="H949" s="133"/>
      <c r="I949" s="21">
        <v>23.4</v>
      </c>
      <c r="J949" s="111" t="s">
        <v>24</v>
      </c>
      <c r="L949" s="116">
        <v>6.2540017479143505E-7</v>
      </c>
      <c r="M949" s="111" t="s">
        <v>24</v>
      </c>
      <c r="N949" s="22">
        <v>1.020175559009E-5</v>
      </c>
    </row>
    <row r="950" spans="7:14" x14ac:dyDescent="0.45">
      <c r="G950" s="115">
        <v>2.8427280672338001E-8</v>
      </c>
      <c r="H950" s="133"/>
      <c r="I950" s="21">
        <v>24.8</v>
      </c>
      <c r="J950" s="111" t="s">
        <v>24</v>
      </c>
      <c r="L950" s="116">
        <v>6.9488908310159502E-8</v>
      </c>
      <c r="M950" s="111" t="s">
        <v>24</v>
      </c>
      <c r="N950" s="22">
        <v>4.4178628125000002E-7</v>
      </c>
    </row>
    <row r="951" spans="7:14" x14ac:dyDescent="0.45">
      <c r="G951" s="115">
        <v>9.8877497990740807E-9</v>
      </c>
      <c r="H951" s="133"/>
      <c r="I951" s="21">
        <v>27.8</v>
      </c>
      <c r="J951" s="111" t="s">
        <v>24</v>
      </c>
      <c r="L951" s="116">
        <v>2.8427280672338001E-8</v>
      </c>
      <c r="M951" s="111" t="s">
        <v>24</v>
      </c>
      <c r="N951" s="22">
        <v>1.7457462827999999E-7</v>
      </c>
    </row>
    <row r="952" spans="7:14" x14ac:dyDescent="0.45">
      <c r="G952" s="115">
        <v>6.9214248593518501E-8</v>
      </c>
      <c r="H952" s="133"/>
      <c r="I952" s="21">
        <v>26.6</v>
      </c>
      <c r="J952" s="111" t="s">
        <v>24</v>
      </c>
      <c r="L952" s="116">
        <v>2.27418245378704E-7</v>
      </c>
      <c r="M952" s="111" t="s">
        <v>24</v>
      </c>
      <c r="N952" s="22">
        <v>3.5564339042099999E-6</v>
      </c>
    </row>
    <row r="953" spans="7:14" x14ac:dyDescent="0.45">
      <c r="G953" s="115">
        <v>2.07642745780556E-7</v>
      </c>
      <c r="H953" s="133"/>
      <c r="I953" s="21">
        <v>25.8</v>
      </c>
      <c r="J953" s="111" t="s">
        <v>24</v>
      </c>
      <c r="L953" s="116">
        <v>7.95963858825463E-7</v>
      </c>
      <c r="M953" s="111" t="s">
        <v>24</v>
      </c>
      <c r="N953" s="22">
        <v>1.569399566389E-5</v>
      </c>
    </row>
    <row r="954" spans="7:14" x14ac:dyDescent="0.45">
      <c r="G954" s="115">
        <v>3.4607124296759298E-7</v>
      </c>
      <c r="H954" s="133"/>
      <c r="I954" s="21">
        <v>25.4</v>
      </c>
      <c r="J954" s="111" t="s">
        <v>24</v>
      </c>
      <c r="L954" s="116">
        <v>1.59192771765093E-6</v>
      </c>
      <c r="M954" s="111" t="s">
        <v>24</v>
      </c>
      <c r="N954" s="22">
        <v>3.4712607369219998E-5</v>
      </c>
    </row>
    <row r="955" spans="7:14" x14ac:dyDescent="0.45">
      <c r="G955" s="115">
        <v>3.4607124296759298E-7</v>
      </c>
      <c r="H955" s="133"/>
      <c r="I955" s="21">
        <v>25.4</v>
      </c>
      <c r="J955" s="111" t="s">
        <v>24</v>
      </c>
      <c r="L955" s="116">
        <v>1.9899096470636602E-6</v>
      </c>
      <c r="M955" s="111" t="s">
        <v>24</v>
      </c>
      <c r="N955" s="22">
        <v>4.4691104839759998E-5</v>
      </c>
    </row>
    <row r="956" spans="7:14" x14ac:dyDescent="0.45">
      <c r="G956" s="115">
        <v>2.07642745780556E-7</v>
      </c>
      <c r="H956" s="133"/>
      <c r="I956" s="21">
        <v>25.8</v>
      </c>
      <c r="J956" s="111" t="s">
        <v>24</v>
      </c>
      <c r="L956" s="116">
        <v>1.59192771765093E-6</v>
      </c>
      <c r="M956" s="111" t="s">
        <v>24</v>
      </c>
      <c r="N956" s="22">
        <v>3.4712607369219998E-5</v>
      </c>
    </row>
    <row r="957" spans="7:14" x14ac:dyDescent="0.45">
      <c r="G957" s="115">
        <v>6.9214248593518501E-8</v>
      </c>
      <c r="H957" s="133"/>
      <c r="I957" s="21">
        <v>26.6</v>
      </c>
      <c r="J957" s="111" t="s">
        <v>24</v>
      </c>
      <c r="L957" s="116">
        <v>7.95963858825463E-7</v>
      </c>
      <c r="M957" s="111" t="s">
        <v>24</v>
      </c>
      <c r="N957" s="22">
        <v>1.569399566389E-5</v>
      </c>
    </row>
    <row r="958" spans="7:14" x14ac:dyDescent="0.45">
      <c r="G958" s="115">
        <v>9.8877497990740807E-9</v>
      </c>
      <c r="H958" s="133"/>
      <c r="I958" s="21">
        <v>27.8</v>
      </c>
      <c r="J958" s="111" t="s">
        <v>24</v>
      </c>
      <c r="L958" s="116">
        <v>2.27418245378704E-7</v>
      </c>
      <c r="M958" s="111" t="s">
        <v>24</v>
      </c>
      <c r="N958" s="22">
        <v>3.5564339042099999E-6</v>
      </c>
    </row>
    <row r="959" spans="7:14" x14ac:dyDescent="0.45">
      <c r="G959" s="115">
        <v>2.8839270247299399E-9</v>
      </c>
      <c r="H959" s="133"/>
      <c r="I959" s="21">
        <v>31.2</v>
      </c>
      <c r="J959" s="111" t="s">
        <v>24</v>
      </c>
      <c r="L959" s="116">
        <v>2.8427280672338001E-8</v>
      </c>
      <c r="M959" s="111" t="s">
        <v>24</v>
      </c>
      <c r="N959" s="22">
        <v>1.7457462827999999E-7</v>
      </c>
    </row>
    <row r="960" spans="7:14" x14ac:dyDescent="0.45">
      <c r="G960" s="115">
        <v>1.7303562148379599E-8</v>
      </c>
      <c r="H960" s="133"/>
      <c r="I960" s="21">
        <v>30.2</v>
      </c>
      <c r="J960" s="111" t="s">
        <v>24</v>
      </c>
      <c r="L960" s="116">
        <v>9.8877497990740807E-9</v>
      </c>
      <c r="M960" s="111" t="s">
        <v>24</v>
      </c>
      <c r="N960" s="22">
        <v>5.8153183100000002E-8</v>
      </c>
    </row>
    <row r="961" spans="7:14" x14ac:dyDescent="0.45">
      <c r="G961" s="115">
        <v>4.3258905370949103E-8</v>
      </c>
      <c r="H961" s="133"/>
      <c r="I961" s="21">
        <v>29.6</v>
      </c>
      <c r="J961" s="111" t="s">
        <v>24</v>
      </c>
      <c r="L961" s="116">
        <v>6.9214248593518501E-8</v>
      </c>
      <c r="M961" s="111" t="s">
        <v>24</v>
      </c>
      <c r="N961" s="22">
        <v>1.02648420082E-6</v>
      </c>
    </row>
    <row r="962" spans="7:14" x14ac:dyDescent="0.45">
      <c r="G962" s="115">
        <v>5.7678540494598799E-8</v>
      </c>
      <c r="H962" s="133"/>
      <c r="I962" s="21">
        <v>29.4</v>
      </c>
      <c r="J962" s="111" t="s">
        <v>24</v>
      </c>
      <c r="L962" s="116">
        <v>2.07642745780556E-7</v>
      </c>
      <c r="M962" s="111" t="s">
        <v>24</v>
      </c>
      <c r="N962" s="22">
        <v>3.8313317498700002E-6</v>
      </c>
    </row>
    <row r="963" spans="7:14" x14ac:dyDescent="0.45">
      <c r="G963" s="115">
        <v>4.3258905370949103E-8</v>
      </c>
      <c r="H963" s="133"/>
      <c r="I963" s="21">
        <v>29.6</v>
      </c>
      <c r="J963" s="111" t="s">
        <v>24</v>
      </c>
      <c r="L963" s="116">
        <v>3.4607124296759298E-7</v>
      </c>
      <c r="M963" s="111" t="s">
        <v>24</v>
      </c>
      <c r="N963" s="22">
        <v>6.9287683555299997E-6</v>
      </c>
    </row>
    <row r="964" spans="7:14" x14ac:dyDescent="0.45">
      <c r="G964" s="115">
        <v>1.7303562148379599E-8</v>
      </c>
      <c r="H964" s="133"/>
      <c r="I964" s="21">
        <v>30.2</v>
      </c>
      <c r="J964" s="111" t="s">
        <v>24</v>
      </c>
      <c r="L964" s="116">
        <v>3.4607124296759298E-7</v>
      </c>
      <c r="M964" s="111" t="s">
        <v>24</v>
      </c>
      <c r="N964" s="22">
        <v>6.9287683555299997E-6</v>
      </c>
    </row>
    <row r="965" spans="7:14" x14ac:dyDescent="0.45">
      <c r="G965" s="115">
        <v>2.8839270247299399E-9</v>
      </c>
      <c r="H965" s="133"/>
      <c r="I965" s="21">
        <v>31.2</v>
      </c>
      <c r="J965" s="111" t="s">
        <v>24</v>
      </c>
      <c r="L965" s="116">
        <v>2.07642745780556E-7</v>
      </c>
      <c r="M965" s="111" t="s">
        <v>24</v>
      </c>
      <c r="N965" s="22">
        <v>3.8313317498700002E-6</v>
      </c>
    </row>
    <row r="966" spans="7:14" x14ac:dyDescent="0.45">
      <c r="G966" s="115">
        <v>6.9214248593518502E-10</v>
      </c>
      <c r="H966" s="133"/>
      <c r="I966" s="21">
        <v>35</v>
      </c>
      <c r="J966" s="111" t="s">
        <v>24</v>
      </c>
      <c r="L966" s="116">
        <v>6.9214248593518501E-8</v>
      </c>
      <c r="M966" s="111" t="s">
        <v>24</v>
      </c>
      <c r="N966" s="22">
        <v>1.02648420082E-6</v>
      </c>
    </row>
    <row r="967" spans="7:14" x14ac:dyDescent="0.45">
      <c r="G967" s="115">
        <v>3.4607124296759301E-9</v>
      </c>
      <c r="H967" s="133"/>
      <c r="I967" s="21">
        <v>34.200000000000003</v>
      </c>
      <c r="J967" s="111" t="s">
        <v>24</v>
      </c>
      <c r="L967" s="116">
        <v>9.8877497990740807E-9</v>
      </c>
      <c r="M967" s="111" t="s">
        <v>24</v>
      </c>
      <c r="N967" s="22">
        <v>5.8153183100000002E-8</v>
      </c>
    </row>
    <row r="968" spans="7:14" x14ac:dyDescent="0.45">
      <c r="G968" s="115">
        <v>6.9214248593518502E-9</v>
      </c>
      <c r="H968" s="133"/>
      <c r="I968" s="21">
        <v>33.799999999999997</v>
      </c>
      <c r="J968" s="111" t="s">
        <v>24</v>
      </c>
      <c r="L968" s="116">
        <v>2.8839270247299399E-9</v>
      </c>
      <c r="M968" s="111" t="s">
        <v>24</v>
      </c>
      <c r="N968" s="22">
        <v>1.6070252350000001E-8</v>
      </c>
    </row>
    <row r="969" spans="7:14" x14ac:dyDescent="0.45">
      <c r="G969" s="115">
        <v>6.9214248593518502E-9</v>
      </c>
      <c r="H969" s="133"/>
      <c r="I969" s="21">
        <v>33.799999999999997</v>
      </c>
      <c r="J969" s="111" t="s">
        <v>24</v>
      </c>
      <c r="L969" s="116">
        <v>1.7303562148379599E-8</v>
      </c>
      <c r="M969" s="111" t="s">
        <v>24</v>
      </c>
      <c r="N969" s="22">
        <v>2.3992758203000002E-7</v>
      </c>
    </row>
    <row r="970" spans="7:14" x14ac:dyDescent="0.45">
      <c r="G970" s="115">
        <v>3.4607124296759301E-9</v>
      </c>
      <c r="H970" s="133"/>
      <c r="I970" s="21">
        <v>34.200000000000003</v>
      </c>
      <c r="J970" s="111" t="s">
        <v>24</v>
      </c>
      <c r="L970" s="116">
        <v>4.3258905370949103E-8</v>
      </c>
      <c r="M970" s="111" t="s">
        <v>24</v>
      </c>
      <c r="N970" s="22">
        <v>7.3220087288000004E-7</v>
      </c>
    </row>
    <row r="971" spans="7:14" x14ac:dyDescent="0.45">
      <c r="G971" s="115">
        <v>6.9214248593518502E-10</v>
      </c>
      <c r="H971" s="133"/>
      <c r="I971" s="21">
        <v>35</v>
      </c>
      <c r="J971" s="111" t="s">
        <v>24</v>
      </c>
      <c r="L971" s="116">
        <v>5.7678540494598799E-8</v>
      </c>
      <c r="M971" s="111" t="s">
        <v>24</v>
      </c>
      <c r="N971" s="22">
        <v>1.02849615066E-6</v>
      </c>
    </row>
    <row r="972" spans="7:14" x14ac:dyDescent="0.45">
      <c r="G972" s="115">
        <v>1.3310432421830501E-10</v>
      </c>
      <c r="H972" s="133"/>
      <c r="I972" s="21">
        <v>39.200000000000003</v>
      </c>
      <c r="J972" s="111" t="s">
        <v>24</v>
      </c>
      <c r="L972" s="116">
        <v>4.3258905370949103E-8</v>
      </c>
      <c r="M972" s="111" t="s">
        <v>24</v>
      </c>
      <c r="N972" s="22">
        <v>7.3220087288000004E-7</v>
      </c>
    </row>
    <row r="973" spans="7:14" x14ac:dyDescent="0.45">
      <c r="G973" s="115">
        <v>5.3241729687322004E-10</v>
      </c>
      <c r="H973" s="133"/>
      <c r="I973" s="21">
        <v>38.6</v>
      </c>
      <c r="J973" s="111" t="s">
        <v>24</v>
      </c>
      <c r="L973" s="116">
        <v>1.7303562148379599E-8</v>
      </c>
      <c r="M973" s="111" t="s">
        <v>24</v>
      </c>
      <c r="N973" s="22">
        <v>2.3992758203000002E-7</v>
      </c>
    </row>
    <row r="974" spans="7:14" x14ac:dyDescent="0.45">
      <c r="G974" s="115">
        <v>7.9862594530982897E-10</v>
      </c>
      <c r="H974" s="133"/>
      <c r="I974" s="21">
        <v>38.4</v>
      </c>
      <c r="J974" s="111" t="s">
        <v>24</v>
      </c>
      <c r="L974" s="116">
        <v>2.8839270247299399E-9</v>
      </c>
      <c r="M974" s="111" t="s">
        <v>24</v>
      </c>
      <c r="N974" s="22">
        <v>1.6070252350000001E-8</v>
      </c>
    </row>
    <row r="975" spans="7:14" x14ac:dyDescent="0.45">
      <c r="G975" s="115">
        <v>5.3241729687322004E-10</v>
      </c>
      <c r="H975" s="133"/>
      <c r="I975" s="21">
        <v>38.6</v>
      </c>
      <c r="J975" s="111" t="s">
        <v>24</v>
      </c>
      <c r="L975" s="116">
        <v>6.9214248593518502E-10</v>
      </c>
      <c r="M975" s="111" t="s">
        <v>24</v>
      </c>
      <c r="N975" s="22">
        <v>3.6028797000000002E-9</v>
      </c>
    </row>
    <row r="976" spans="7:14" x14ac:dyDescent="0.45">
      <c r="G976" s="115">
        <v>1.3310432421830501E-10</v>
      </c>
      <c r="H976" s="133"/>
      <c r="I976" s="21">
        <v>39.200000000000003</v>
      </c>
      <c r="J976" s="111" t="s">
        <v>24</v>
      </c>
      <c r="L976" s="116">
        <v>3.4607124296759301E-9</v>
      </c>
      <c r="M976" s="111" t="s">
        <v>24</v>
      </c>
      <c r="N976" s="22">
        <v>4.398046511E-8</v>
      </c>
    </row>
    <row r="977" spans="7:14" x14ac:dyDescent="0.45">
      <c r="G977" s="115">
        <v>1.9719159143452599E-11</v>
      </c>
      <c r="H977" s="133"/>
      <c r="I977" s="21">
        <v>43.8</v>
      </c>
      <c r="J977" s="111" t="s">
        <v>24</v>
      </c>
      <c r="L977" s="116">
        <v>6.9214248593518502E-9</v>
      </c>
      <c r="M977" s="111" t="s">
        <v>24</v>
      </c>
      <c r="N977" s="22">
        <v>1.0424999137E-7</v>
      </c>
    </row>
    <row r="978" spans="7:14" x14ac:dyDescent="0.45">
      <c r="G978" s="115">
        <v>5.91574774303577E-11</v>
      </c>
      <c r="H978" s="133"/>
      <c r="I978" s="21">
        <v>43.4</v>
      </c>
      <c r="J978" s="111" t="s">
        <v>24</v>
      </c>
      <c r="L978" s="116">
        <v>6.9214248593518502E-9</v>
      </c>
      <c r="M978" s="111" t="s">
        <v>24</v>
      </c>
      <c r="N978" s="22">
        <v>1.0424999137E-7</v>
      </c>
    </row>
    <row r="979" spans="7:14" x14ac:dyDescent="0.45">
      <c r="G979" s="115">
        <v>5.91574774303577E-11</v>
      </c>
      <c r="H979" s="133"/>
      <c r="I979" s="21">
        <v>43.4</v>
      </c>
      <c r="J979" s="111" t="s">
        <v>24</v>
      </c>
      <c r="L979" s="116">
        <v>3.4607124296759301E-9</v>
      </c>
      <c r="M979" s="111" t="s">
        <v>24</v>
      </c>
      <c r="N979" s="22">
        <v>4.398046511E-8</v>
      </c>
    </row>
    <row r="980" spans="7:14" x14ac:dyDescent="0.45">
      <c r="G980" s="115">
        <v>1.9719159143452599E-11</v>
      </c>
      <c r="H980" s="133"/>
      <c r="I980" s="21">
        <v>43.8</v>
      </c>
      <c r="J980" s="111" t="s">
        <v>24</v>
      </c>
      <c r="L980" s="116">
        <v>6.9214248593518502E-10</v>
      </c>
      <c r="M980" s="111" t="s">
        <v>24</v>
      </c>
      <c r="N980" s="22">
        <v>3.6028797000000002E-9</v>
      </c>
    </row>
    <row r="981" spans="7:14" x14ac:dyDescent="0.45">
      <c r="G981" s="115">
        <v>2.1127670510841999E-12</v>
      </c>
      <c r="H981" s="133"/>
      <c r="I981" s="21">
        <v>48.8</v>
      </c>
      <c r="J981" s="111" t="s">
        <v>24</v>
      </c>
      <c r="L981" s="116">
        <v>1.3310432421830501E-10</v>
      </c>
      <c r="M981" s="111" t="s">
        <v>24</v>
      </c>
      <c r="N981" s="22">
        <v>6.3453120999999999E-10</v>
      </c>
    </row>
    <row r="982" spans="7:14" x14ac:dyDescent="0.45">
      <c r="G982" s="115">
        <v>4.2255341021684104E-12</v>
      </c>
      <c r="H982" s="133"/>
      <c r="I982" s="21">
        <v>48.6</v>
      </c>
      <c r="J982" s="111" t="s">
        <v>24</v>
      </c>
      <c r="L982" s="116">
        <v>5.3241729687322004E-10</v>
      </c>
      <c r="M982" s="111" t="s">
        <v>24</v>
      </c>
      <c r="N982" s="22">
        <v>6.0162959099999998E-9</v>
      </c>
    </row>
    <row r="983" spans="7:14" x14ac:dyDescent="0.45">
      <c r="G983" s="115">
        <v>2.1127670510841999E-12</v>
      </c>
      <c r="H983" s="133"/>
      <c r="I983" s="21">
        <v>48.8</v>
      </c>
      <c r="J983" s="111" t="s">
        <v>24</v>
      </c>
      <c r="L983" s="116">
        <v>7.9862594530982897E-10</v>
      </c>
      <c r="M983" s="111" t="s">
        <v>24</v>
      </c>
      <c r="N983" s="22">
        <v>1.015249934E-8</v>
      </c>
    </row>
    <row r="984" spans="7:14" x14ac:dyDescent="0.45">
      <c r="G984" s="115">
        <v>1.4570807248856601E-13</v>
      </c>
      <c r="H984" s="133"/>
      <c r="I984" s="21">
        <v>54.2</v>
      </c>
      <c r="J984" s="111" t="s">
        <v>24</v>
      </c>
      <c r="L984" s="116">
        <v>5.3241729687322004E-10</v>
      </c>
      <c r="M984" s="111" t="s">
        <v>24</v>
      </c>
      <c r="N984" s="22">
        <v>6.0162959099999998E-9</v>
      </c>
    </row>
    <row r="985" spans="7:14" x14ac:dyDescent="0.45">
      <c r="G985" s="115">
        <v>1.4570807248856601E-13</v>
      </c>
      <c r="H985" s="133"/>
      <c r="I985" s="21">
        <v>54.2</v>
      </c>
      <c r="J985" s="111" t="s">
        <v>24</v>
      </c>
      <c r="L985" s="116">
        <v>1.3310432421830501E-10</v>
      </c>
      <c r="M985" s="111" t="s">
        <v>24</v>
      </c>
      <c r="N985" s="22">
        <v>6.3453120999999999E-10</v>
      </c>
    </row>
    <row r="986" spans="7:14" x14ac:dyDescent="0.45">
      <c r="G986" s="115">
        <v>4.8569357496188599E-15</v>
      </c>
      <c r="H986" s="133"/>
      <c r="I986" s="21">
        <v>60</v>
      </c>
      <c r="J986" s="111" t="s">
        <v>24</v>
      </c>
      <c r="L986" s="116">
        <v>1.9719159143452599E-11</v>
      </c>
      <c r="M986" s="111" t="s">
        <v>24</v>
      </c>
      <c r="N986" s="22">
        <v>8.3524640000000003E-11</v>
      </c>
    </row>
    <row r="987" spans="7:14" x14ac:dyDescent="0.45">
      <c r="G987" s="115">
        <v>7.1986971392174904E-3</v>
      </c>
      <c r="H987" s="133"/>
      <c r="I987" s="21">
        <v>2.6</v>
      </c>
      <c r="J987" s="111" t="s">
        <v>27</v>
      </c>
      <c r="L987" s="116">
        <v>5.91574774303577E-11</v>
      </c>
      <c r="M987" s="111" t="s">
        <v>24</v>
      </c>
      <c r="N987" s="22">
        <v>5.6379131000000002E-10</v>
      </c>
    </row>
    <row r="988" spans="7:14" x14ac:dyDescent="0.45">
      <c r="G988" s="115">
        <v>7.1986971392174904E-3</v>
      </c>
      <c r="H988" s="133"/>
      <c r="I988" s="21">
        <v>2.6</v>
      </c>
      <c r="J988" s="111" t="s">
        <v>27</v>
      </c>
      <c r="L988" s="116">
        <v>5.91574774303577E-11</v>
      </c>
      <c r="M988" s="111" t="s">
        <v>24</v>
      </c>
      <c r="N988" s="22">
        <v>5.6379131000000002E-10</v>
      </c>
    </row>
    <row r="989" spans="7:14" x14ac:dyDescent="0.45">
      <c r="G989" s="115">
        <v>8.0801702583053504E-3</v>
      </c>
      <c r="H989" s="133"/>
      <c r="I989" s="21">
        <v>2.6</v>
      </c>
      <c r="J989" s="111" t="s">
        <v>27</v>
      </c>
      <c r="L989" s="116">
        <v>1.9719159143452599E-11</v>
      </c>
      <c r="M989" s="111" t="s">
        <v>24</v>
      </c>
      <c r="N989" s="22">
        <v>8.3524640000000003E-11</v>
      </c>
    </row>
    <row r="990" spans="7:14" x14ac:dyDescent="0.45">
      <c r="G990" s="115">
        <v>8.0801702583053504E-3</v>
      </c>
      <c r="H990" s="133"/>
      <c r="I990" s="21">
        <v>2.6</v>
      </c>
      <c r="J990" s="111" t="s">
        <v>27</v>
      </c>
      <c r="L990" s="116">
        <v>2.1127670510841999E-12</v>
      </c>
      <c r="M990" s="111" t="s">
        <v>24</v>
      </c>
      <c r="N990" s="22">
        <v>7.5424999999999994E-12</v>
      </c>
    </row>
    <row r="991" spans="7:14" x14ac:dyDescent="0.45">
      <c r="G991" s="115">
        <v>8.0801702583053504E-3</v>
      </c>
      <c r="H991" s="133"/>
      <c r="I991" s="21">
        <v>2.6</v>
      </c>
      <c r="J991" s="111" t="s">
        <v>27</v>
      </c>
      <c r="L991" s="116">
        <v>4.2255341021684104E-12</v>
      </c>
      <c r="M991" s="111" t="s">
        <v>24</v>
      </c>
      <c r="N991" s="22">
        <v>3.0169989999999998E-11</v>
      </c>
    </row>
    <row r="992" spans="7:14" x14ac:dyDescent="0.45">
      <c r="G992" s="115">
        <v>8.0801702583053504E-3</v>
      </c>
      <c r="H992" s="133"/>
      <c r="I992" s="21">
        <v>2.6</v>
      </c>
      <c r="J992" s="111" t="s">
        <v>27</v>
      </c>
      <c r="L992" s="116">
        <v>2.1127670510841999E-12</v>
      </c>
      <c r="M992" s="111" t="s">
        <v>24</v>
      </c>
      <c r="N992" s="22">
        <v>7.5424999999999994E-12</v>
      </c>
    </row>
    <row r="993" spans="7:14" x14ac:dyDescent="0.45">
      <c r="G993" s="115">
        <v>7.1986971392174904E-3</v>
      </c>
      <c r="H993" s="133"/>
      <c r="I993" s="21">
        <v>2.6</v>
      </c>
      <c r="J993" s="111" t="s">
        <v>27</v>
      </c>
      <c r="L993" s="116">
        <v>1.4570807248856601E-13</v>
      </c>
      <c r="M993" s="111" t="s">
        <v>24</v>
      </c>
      <c r="N993" s="22">
        <v>3.8945999999999999E-13</v>
      </c>
    </row>
    <row r="994" spans="7:14" x14ac:dyDescent="0.45">
      <c r="G994" s="115">
        <v>7.1986971392174904E-3</v>
      </c>
      <c r="H994" s="133"/>
      <c r="I994" s="21">
        <v>2.6</v>
      </c>
      <c r="J994" s="111" t="s">
        <v>27</v>
      </c>
      <c r="L994" s="116">
        <v>1.4570807248856601E-13</v>
      </c>
      <c r="M994" s="111" t="s">
        <v>24</v>
      </c>
      <c r="N994" s="22">
        <v>3.8945999999999999E-13</v>
      </c>
    </row>
    <row r="995" spans="7:14" x14ac:dyDescent="0.45">
      <c r="G995" s="115">
        <v>7.1986971392174904E-3</v>
      </c>
      <c r="H995" s="133"/>
      <c r="I995" s="21">
        <v>2.6</v>
      </c>
      <c r="J995" s="111" t="s">
        <v>27</v>
      </c>
      <c r="L995" s="116">
        <v>4.8569357496188599E-15</v>
      </c>
      <c r="M995" s="111" t="s">
        <v>24</v>
      </c>
      <c r="N995" s="22">
        <v>4.8600000000000001E-15</v>
      </c>
    </row>
    <row r="996" spans="7:14" x14ac:dyDescent="0.45">
      <c r="G996" s="115">
        <v>7.1986971392174904E-3</v>
      </c>
      <c r="H996" s="133"/>
      <c r="I996" s="21">
        <v>2.6</v>
      </c>
      <c r="J996" s="111" t="s">
        <v>27</v>
      </c>
      <c r="L996" s="116">
        <v>8.0801702583053504E-3</v>
      </c>
      <c r="M996" s="111" t="s">
        <v>27</v>
      </c>
      <c r="N996" s="22">
        <v>0.282058138554733</v>
      </c>
    </row>
    <row r="997" spans="7:14" x14ac:dyDescent="0.45">
      <c r="G997" s="115">
        <v>8.0801702583053504E-3</v>
      </c>
      <c r="H997" s="133"/>
      <c r="I997" s="21">
        <v>2.6</v>
      </c>
      <c r="J997" s="111" t="s">
        <v>27</v>
      </c>
      <c r="L997" s="116">
        <v>8.0801702583053504E-3</v>
      </c>
      <c r="M997" s="111" t="s">
        <v>27</v>
      </c>
      <c r="N997" s="22">
        <v>0.282058138554733</v>
      </c>
    </row>
    <row r="998" spans="7:14" x14ac:dyDescent="0.45">
      <c r="G998" s="115">
        <v>8.0801702583053504E-3</v>
      </c>
      <c r="H998" s="133"/>
      <c r="I998" s="21">
        <v>2.6</v>
      </c>
      <c r="J998" s="111" t="s">
        <v>27</v>
      </c>
      <c r="L998" s="116">
        <v>8.0801702583053504E-3</v>
      </c>
      <c r="M998" s="111" t="s">
        <v>27</v>
      </c>
      <c r="N998" s="22">
        <v>0.282058138554733</v>
      </c>
    </row>
    <row r="999" spans="7:14" x14ac:dyDescent="0.45">
      <c r="G999" s="22">
        <v>7.7985885674856101E-3</v>
      </c>
      <c r="H999" s="21"/>
      <c r="I999" s="21">
        <v>2.4</v>
      </c>
      <c r="J999" s="48"/>
      <c r="L999" s="116">
        <v>8.0801702583053504E-3</v>
      </c>
      <c r="M999" s="111" t="s">
        <v>27</v>
      </c>
      <c r="N999" s="22">
        <v>0.282058138554733</v>
      </c>
    </row>
    <row r="1000" spans="7:14" x14ac:dyDescent="0.45">
      <c r="G1000" s="22">
        <v>1.1312238361627499E-2</v>
      </c>
      <c r="H1000" s="21"/>
      <c r="I1000" s="21">
        <v>1.8</v>
      </c>
      <c r="J1000" s="111"/>
      <c r="L1000" s="116">
        <v>8.0801702583053504E-3</v>
      </c>
      <c r="M1000" s="111" t="s">
        <v>27</v>
      </c>
      <c r="N1000" s="22">
        <v>0.282058138554733</v>
      </c>
    </row>
    <row r="1001" spans="7:14" x14ac:dyDescent="0.45">
      <c r="G1001" s="22">
        <v>1.33690089728325E-2</v>
      </c>
      <c r="H1001" s="21"/>
      <c r="I1001" s="21">
        <v>1.4</v>
      </c>
      <c r="J1001" s="111"/>
      <c r="L1001" s="116">
        <v>8.0801702583053504E-3</v>
      </c>
      <c r="M1001" s="111" t="s">
        <v>27</v>
      </c>
      <c r="N1001" s="22">
        <v>0.282058138554733</v>
      </c>
    </row>
    <row r="1002" spans="7:14" x14ac:dyDescent="0.45">
      <c r="G1002" s="22">
        <v>1.33690089728325E-2</v>
      </c>
      <c r="H1002" s="21"/>
      <c r="I1002" s="21">
        <v>1.4</v>
      </c>
      <c r="J1002" s="111"/>
      <c r="L1002" s="22">
        <v>1.1312238361627499E-2</v>
      </c>
      <c r="M1002" s="111"/>
      <c r="N1002" s="22">
        <v>0.40091300092771298</v>
      </c>
    </row>
    <row r="1003" spans="7:14" x14ac:dyDescent="0.45">
      <c r="G1003" s="22">
        <v>1.1312238361627499E-2</v>
      </c>
      <c r="H1003" s="21"/>
      <c r="I1003" s="21">
        <v>1.8</v>
      </c>
      <c r="J1003" s="111"/>
      <c r="L1003" s="22">
        <v>1.33690089728325E-2</v>
      </c>
      <c r="M1003" s="111"/>
      <c r="N1003" s="22">
        <v>0.47733054968894301</v>
      </c>
    </row>
    <row r="1004" spans="7:14" x14ac:dyDescent="0.45">
      <c r="G1004" s="22">
        <v>9.0901915405935101E-3</v>
      </c>
      <c r="H1004" s="21"/>
      <c r="I1004" s="21">
        <v>2.4</v>
      </c>
      <c r="J1004" s="111"/>
      <c r="L1004" s="22">
        <v>1.33690089728325E-2</v>
      </c>
      <c r="M1004" s="111"/>
      <c r="N1004" s="22">
        <v>0.47733054968894301</v>
      </c>
    </row>
    <row r="1005" spans="7:14" x14ac:dyDescent="0.45">
      <c r="G1005" s="22">
        <v>1.4140297952034401E-2</v>
      </c>
      <c r="H1005" s="21"/>
      <c r="I1005" s="21">
        <v>1.4</v>
      </c>
      <c r="J1005" s="111"/>
      <c r="L1005" s="22">
        <v>1.1312238361627499E-2</v>
      </c>
      <c r="M1005" s="111"/>
      <c r="N1005" s="22">
        <v>0.40091300092771298</v>
      </c>
    </row>
    <row r="1006" spans="7:14" x14ac:dyDescent="0.45">
      <c r="G1006" s="22">
        <v>1.83823873376447E-2</v>
      </c>
      <c r="H1006" s="21"/>
      <c r="I1006" s="21">
        <v>0.8</v>
      </c>
      <c r="J1006" s="111"/>
      <c r="L1006" s="22">
        <v>9.0901915405935101E-3</v>
      </c>
      <c r="M1006" s="111"/>
      <c r="N1006" s="22">
        <v>0.31971845721234898</v>
      </c>
    </row>
    <row r="1007" spans="7:14" x14ac:dyDescent="0.45">
      <c r="G1007" s="22">
        <v>2.00535134592487E-2</v>
      </c>
      <c r="H1007" s="21"/>
      <c r="I1007" s="21">
        <v>0.6</v>
      </c>
      <c r="J1007" s="111"/>
      <c r="L1007" s="22">
        <v>1.4140297952034401E-2</v>
      </c>
      <c r="M1007" s="111"/>
      <c r="N1007" s="22">
        <v>0.50796517513200301</v>
      </c>
    </row>
    <row r="1008" spans="7:14" x14ac:dyDescent="0.45">
      <c r="G1008" s="22">
        <v>1.83823873376447E-2</v>
      </c>
      <c r="H1008" s="21"/>
      <c r="I1008" s="21">
        <v>0.8</v>
      </c>
      <c r="J1008" s="111"/>
      <c r="L1008" s="22">
        <v>1.83823873376447E-2</v>
      </c>
      <c r="M1008" s="111"/>
      <c r="N1008" s="22">
        <v>0.66850575676330903</v>
      </c>
    </row>
    <row r="1009" spans="7:14" x14ac:dyDescent="0.45">
      <c r="G1009" s="22">
        <v>1.4140297952034401E-2</v>
      </c>
      <c r="H1009" s="21"/>
      <c r="I1009" s="21">
        <v>1.4</v>
      </c>
      <c r="J1009" s="111"/>
      <c r="L1009" s="22">
        <v>2.00535134592487E-2</v>
      </c>
      <c r="M1009" s="111"/>
      <c r="N1009" s="22">
        <v>0.73221906169457696</v>
      </c>
    </row>
    <row r="1010" spans="7:14" x14ac:dyDescent="0.45">
      <c r="G1010" s="22">
        <v>9.0901915405935101E-3</v>
      </c>
      <c r="H1010" s="21"/>
      <c r="I1010" s="21">
        <v>2.4</v>
      </c>
      <c r="J1010" s="111"/>
      <c r="L1010" s="22">
        <v>1.83823873376447E-2</v>
      </c>
      <c r="M1010" s="111"/>
      <c r="N1010" s="22">
        <v>0.66850575676330903</v>
      </c>
    </row>
    <row r="1011" spans="7:14" x14ac:dyDescent="0.45">
      <c r="G1011" s="22">
        <v>1.4140297952034401E-2</v>
      </c>
      <c r="H1011" s="21"/>
      <c r="I1011" s="21">
        <v>1.4</v>
      </c>
      <c r="J1011" s="111"/>
      <c r="L1011" s="22">
        <v>1.4140297952034401E-2</v>
      </c>
      <c r="M1011" s="111"/>
      <c r="N1011" s="22">
        <v>0.50796517513200301</v>
      </c>
    </row>
    <row r="1012" spans="7:14" x14ac:dyDescent="0.45">
      <c r="G1012" s="22">
        <v>2.0424874819605199E-2</v>
      </c>
      <c r="H1012" s="21"/>
      <c r="I1012" s="21">
        <v>0.6</v>
      </c>
      <c r="J1012" s="111"/>
      <c r="L1012" s="22">
        <v>9.0901915405935101E-3</v>
      </c>
      <c r="M1012" s="111"/>
      <c r="N1012" s="22">
        <v>0.31971845721234898</v>
      </c>
    </row>
    <row r="1013" spans="7:14" x14ac:dyDescent="0.45">
      <c r="G1013" s="22">
        <v>2.4509849783526199E-2</v>
      </c>
      <c r="H1013" s="21"/>
      <c r="I1013" s="21">
        <v>0.2</v>
      </c>
      <c r="J1013" s="111"/>
      <c r="L1013" s="22">
        <v>1.4140297952034401E-2</v>
      </c>
      <c r="M1013" s="111"/>
      <c r="N1013" s="22">
        <v>0.50796517513200301</v>
      </c>
    </row>
    <row r="1014" spans="7:14" x14ac:dyDescent="0.45">
      <c r="G1014" s="22">
        <v>2.4509849783526199E-2</v>
      </c>
      <c r="H1014" s="21"/>
      <c r="I1014" s="21">
        <v>0.2</v>
      </c>
      <c r="J1014" s="111"/>
      <c r="L1014" s="22">
        <v>2.0424874819605199E-2</v>
      </c>
      <c r="M1014" s="111"/>
      <c r="N1014" s="22">
        <v>0.74723959695618403</v>
      </c>
    </row>
    <row r="1015" spans="7:14" x14ac:dyDescent="0.45">
      <c r="G1015" s="22">
        <v>2.0424874819605199E-2</v>
      </c>
      <c r="H1015" s="21"/>
      <c r="I1015" s="21">
        <v>0.6</v>
      </c>
      <c r="J1015" s="111"/>
      <c r="L1015" s="22">
        <v>2.4509849783526199E-2</v>
      </c>
      <c r="M1015" s="111"/>
      <c r="N1015" s="22">
        <v>0.90468601799062898</v>
      </c>
    </row>
    <row r="1016" spans="7:14" x14ac:dyDescent="0.45">
      <c r="G1016" s="22">
        <v>1.4140297952034401E-2</v>
      </c>
      <c r="H1016" s="21"/>
      <c r="I1016" s="21">
        <v>1.4</v>
      </c>
      <c r="J1016" s="111"/>
      <c r="L1016" s="22">
        <v>2.4509849783526199E-2</v>
      </c>
      <c r="M1016" s="111"/>
      <c r="N1016" s="22">
        <v>0.90468601799062898</v>
      </c>
    </row>
    <row r="1017" spans="7:14" x14ac:dyDescent="0.45">
      <c r="G1017" s="22">
        <v>1.1312238361627499E-2</v>
      </c>
      <c r="H1017" s="21"/>
      <c r="I1017" s="21">
        <v>1.8</v>
      </c>
      <c r="J1017" s="111"/>
      <c r="L1017" s="22">
        <v>2.0424874819605199E-2</v>
      </c>
      <c r="M1017" s="111"/>
      <c r="N1017" s="22">
        <v>0.74723959695618403</v>
      </c>
    </row>
    <row r="1018" spans="7:14" x14ac:dyDescent="0.45">
      <c r="G1018" s="22">
        <v>1.83823873376447E-2</v>
      </c>
      <c r="H1018" s="21"/>
      <c r="I1018" s="21">
        <v>0.8</v>
      </c>
      <c r="J1018" s="111"/>
      <c r="L1018" s="22">
        <v>1.4140297952034401E-2</v>
      </c>
      <c r="M1018" s="111"/>
      <c r="N1018" s="22">
        <v>0.50796517513200301</v>
      </c>
    </row>
    <row r="1019" spans="7:14" x14ac:dyDescent="0.45">
      <c r="G1019" s="22">
        <v>2.4509849783526199E-2</v>
      </c>
      <c r="H1019" s="21"/>
      <c r="I1019" s="21">
        <v>0.2</v>
      </c>
      <c r="J1019" s="111"/>
      <c r="L1019" s="22">
        <v>1.1312238361627499E-2</v>
      </c>
      <c r="M1019" s="111"/>
      <c r="N1019" s="22">
        <v>0.40091300092771298</v>
      </c>
    </row>
    <row r="1020" spans="7:14" x14ac:dyDescent="0.45">
      <c r="G1020" s="22">
        <v>2.6960834761878799E-2</v>
      </c>
      <c r="H1020" s="21"/>
      <c r="I1020" s="21">
        <v>0</v>
      </c>
      <c r="J1020" s="111"/>
      <c r="L1020" s="22">
        <v>1.83823873376447E-2</v>
      </c>
      <c r="M1020" s="111"/>
      <c r="N1020" s="22">
        <v>0.66850575676330903</v>
      </c>
    </row>
    <row r="1021" spans="7:14" x14ac:dyDescent="0.45">
      <c r="G1021" s="22">
        <v>2.4509849783526199E-2</v>
      </c>
      <c r="H1021" s="21"/>
      <c r="I1021" s="21">
        <v>0.2</v>
      </c>
      <c r="J1021" s="111"/>
      <c r="L1021" s="22">
        <v>2.4509849783526199E-2</v>
      </c>
      <c r="M1021" s="111"/>
      <c r="N1021" s="22">
        <v>0.90468601799062898</v>
      </c>
    </row>
    <row r="1022" spans="7:14" x14ac:dyDescent="0.45">
      <c r="G1022" s="22">
        <v>1.83823873376447E-2</v>
      </c>
      <c r="H1022" s="21"/>
      <c r="I1022" s="21">
        <v>0.8</v>
      </c>
      <c r="J1022" s="111"/>
      <c r="L1022" s="22">
        <v>2.6960834761878799E-2</v>
      </c>
      <c r="M1022" s="111"/>
      <c r="N1022" s="22">
        <v>1</v>
      </c>
    </row>
    <row r="1023" spans="7:14" x14ac:dyDescent="0.45">
      <c r="G1023" s="22">
        <v>1.1312238361627499E-2</v>
      </c>
      <c r="H1023" s="21"/>
      <c r="I1023" s="21">
        <v>1.8</v>
      </c>
      <c r="J1023" s="111"/>
      <c r="L1023" s="22">
        <v>2.4509849783526199E-2</v>
      </c>
      <c r="M1023" s="111"/>
      <c r="N1023" s="22">
        <v>0.90468601799062898</v>
      </c>
    </row>
    <row r="1024" spans="7:14" x14ac:dyDescent="0.45">
      <c r="G1024" s="22">
        <v>1.33690089728325E-2</v>
      </c>
      <c r="H1024" s="21"/>
      <c r="I1024" s="21">
        <v>1.4</v>
      </c>
      <c r="J1024" s="111"/>
      <c r="L1024" s="22">
        <v>1.83823873376447E-2</v>
      </c>
      <c r="M1024" s="111"/>
      <c r="N1024" s="22">
        <v>0.66850575676330903</v>
      </c>
    </row>
    <row r="1025" spans="7:14" x14ac:dyDescent="0.45">
      <c r="G1025" s="22">
        <v>2.00535134592487E-2</v>
      </c>
      <c r="H1025" s="21"/>
      <c r="I1025" s="21">
        <v>0.6</v>
      </c>
      <c r="J1025" s="111"/>
      <c r="L1025" s="22">
        <v>1.1312238361627499E-2</v>
      </c>
      <c r="M1025" s="111"/>
      <c r="N1025" s="22">
        <v>0.40091300092771298</v>
      </c>
    </row>
    <row r="1026" spans="7:14" x14ac:dyDescent="0.45">
      <c r="G1026" s="22">
        <v>2.4509849783526199E-2</v>
      </c>
      <c r="H1026" s="21"/>
      <c r="I1026" s="21">
        <v>0.2</v>
      </c>
      <c r="J1026" s="111"/>
      <c r="L1026" s="22">
        <v>1.33690089728325E-2</v>
      </c>
      <c r="M1026" s="111"/>
      <c r="N1026" s="22">
        <v>0.47733054968894301</v>
      </c>
    </row>
    <row r="1027" spans="7:14" x14ac:dyDescent="0.45">
      <c r="G1027" s="22">
        <v>2.4509849783526199E-2</v>
      </c>
      <c r="H1027" s="21"/>
      <c r="I1027" s="21">
        <v>0.2</v>
      </c>
      <c r="J1027" s="111"/>
      <c r="L1027" s="22">
        <v>2.00535134592487E-2</v>
      </c>
      <c r="M1027" s="111"/>
      <c r="N1027" s="22">
        <v>0.73221906169457696</v>
      </c>
    </row>
    <row r="1028" spans="7:14" x14ac:dyDescent="0.45">
      <c r="G1028" s="22">
        <v>2.00535134592487E-2</v>
      </c>
      <c r="H1028" s="21"/>
      <c r="I1028" s="21">
        <v>0.6</v>
      </c>
      <c r="J1028" s="111"/>
      <c r="L1028" s="22">
        <v>2.4509849783526199E-2</v>
      </c>
      <c r="M1028" s="111"/>
      <c r="N1028" s="22">
        <v>0.90468601799062898</v>
      </c>
    </row>
    <row r="1029" spans="7:14" x14ac:dyDescent="0.45">
      <c r="G1029" s="22">
        <v>1.33690089728325E-2</v>
      </c>
      <c r="H1029" s="21"/>
      <c r="I1029" s="21">
        <v>1.4</v>
      </c>
      <c r="J1029" s="111"/>
      <c r="L1029" s="22">
        <v>2.4509849783526199E-2</v>
      </c>
      <c r="M1029" s="111"/>
      <c r="N1029" s="22">
        <v>0.90468601799062898</v>
      </c>
    </row>
    <row r="1030" spans="7:14" x14ac:dyDescent="0.45">
      <c r="G1030" s="22">
        <v>7.7985885674856101E-3</v>
      </c>
      <c r="H1030" s="21"/>
      <c r="I1030" s="21">
        <v>2.4</v>
      </c>
      <c r="J1030" s="48"/>
      <c r="L1030" s="22">
        <v>2.00535134592487E-2</v>
      </c>
      <c r="M1030" s="111"/>
      <c r="N1030" s="22">
        <v>0.73221906169457696</v>
      </c>
    </row>
    <row r="1031" spans="7:14" x14ac:dyDescent="0.45">
      <c r="G1031" s="22">
        <v>1.33690089728325E-2</v>
      </c>
      <c r="H1031" s="21"/>
      <c r="I1031" s="21">
        <v>1.4</v>
      </c>
      <c r="J1031" s="111"/>
      <c r="L1031" s="22">
        <v>1.33690089728325E-2</v>
      </c>
      <c r="M1031" s="111"/>
      <c r="N1031" s="22">
        <v>0.47733054968894301</v>
      </c>
    </row>
    <row r="1032" spans="7:14" x14ac:dyDescent="0.45">
      <c r="G1032" s="22">
        <v>1.83823873376447E-2</v>
      </c>
      <c r="H1032" s="21"/>
      <c r="I1032" s="21">
        <v>0.8</v>
      </c>
      <c r="J1032" s="111"/>
      <c r="L1032" s="22">
        <v>1.33690089728325E-2</v>
      </c>
      <c r="M1032" s="111"/>
      <c r="N1032" s="22">
        <v>0.47733054968894301</v>
      </c>
    </row>
    <row r="1033" spans="7:14" x14ac:dyDescent="0.45">
      <c r="G1033" s="22">
        <v>2.0424874819605199E-2</v>
      </c>
      <c r="H1033" s="21"/>
      <c r="I1033" s="21">
        <v>0.6</v>
      </c>
      <c r="J1033" s="111"/>
      <c r="L1033" s="22">
        <v>1.83823873376447E-2</v>
      </c>
      <c r="M1033" s="111"/>
      <c r="N1033" s="22">
        <v>0.66850575676330903</v>
      </c>
    </row>
    <row r="1034" spans="7:14" x14ac:dyDescent="0.45">
      <c r="G1034" s="22">
        <v>1.83823873376447E-2</v>
      </c>
      <c r="H1034" s="21"/>
      <c r="I1034" s="21">
        <v>0.8</v>
      </c>
      <c r="J1034" s="111"/>
      <c r="L1034" s="22">
        <v>2.0424874819605199E-2</v>
      </c>
      <c r="M1034" s="111"/>
      <c r="N1034" s="22">
        <v>0.74723959695618403</v>
      </c>
    </row>
    <row r="1035" spans="7:14" x14ac:dyDescent="0.45">
      <c r="G1035" s="22">
        <v>1.33690089728325E-2</v>
      </c>
      <c r="H1035" s="21"/>
      <c r="I1035" s="21">
        <v>1.4</v>
      </c>
      <c r="J1035" s="111"/>
      <c r="L1035" s="22">
        <v>1.83823873376447E-2</v>
      </c>
      <c r="M1035" s="111"/>
      <c r="N1035" s="22">
        <v>0.66850575676330903</v>
      </c>
    </row>
    <row r="1036" spans="7:14" x14ac:dyDescent="0.45">
      <c r="G1036" s="22">
        <v>7.7985885674856101E-3</v>
      </c>
      <c r="H1036" s="21"/>
      <c r="I1036" s="21">
        <v>2.4</v>
      </c>
      <c r="J1036" s="48"/>
      <c r="L1036" s="22">
        <v>1.33690089728325E-2</v>
      </c>
      <c r="M1036" s="111"/>
      <c r="N1036" s="22">
        <v>0.47733054968894301</v>
      </c>
    </row>
    <row r="1037" spans="7:14" x14ac:dyDescent="0.45">
      <c r="G1037" s="22">
        <v>1.1312238361627499E-2</v>
      </c>
      <c r="H1037" s="21"/>
      <c r="I1037" s="21">
        <v>1.8</v>
      </c>
      <c r="J1037" s="111"/>
      <c r="L1037" s="22">
        <v>1.1312238361627499E-2</v>
      </c>
      <c r="M1037" s="111"/>
      <c r="N1037" s="22">
        <v>0.40091300092771298</v>
      </c>
    </row>
    <row r="1038" spans="7:14" x14ac:dyDescent="0.45">
      <c r="G1038" s="22">
        <v>1.4140297952034401E-2</v>
      </c>
      <c r="H1038" s="21"/>
      <c r="I1038" s="21">
        <v>1.4</v>
      </c>
      <c r="J1038" s="111"/>
      <c r="L1038" s="22">
        <v>1.4140297952034401E-2</v>
      </c>
      <c r="M1038" s="111"/>
      <c r="N1038" s="22">
        <v>0.50796517513200301</v>
      </c>
    </row>
    <row r="1039" spans="7:14" x14ac:dyDescent="0.45">
      <c r="G1039" s="22">
        <v>1.4140297952034401E-2</v>
      </c>
      <c r="H1039" s="21"/>
      <c r="I1039" s="21">
        <v>1.4</v>
      </c>
      <c r="J1039" s="111"/>
      <c r="L1039" s="22">
        <v>1.4140297952034401E-2</v>
      </c>
      <c r="M1039" s="111"/>
      <c r="N1039" s="22">
        <v>0.50796517513200301</v>
      </c>
    </row>
    <row r="1040" spans="7:14" x14ac:dyDescent="0.45">
      <c r="G1040" s="22">
        <v>1.1312238361627499E-2</v>
      </c>
      <c r="H1040" s="21"/>
      <c r="I1040" s="21">
        <v>1.8</v>
      </c>
      <c r="J1040" s="111"/>
      <c r="L1040" s="22">
        <v>1.1312238361627499E-2</v>
      </c>
      <c r="M1040" s="111"/>
      <c r="N1040" s="22">
        <v>0.40091300092771298</v>
      </c>
    </row>
    <row r="1041" spans="7:14" x14ac:dyDescent="0.45">
      <c r="G1041" s="22">
        <v>9.0901915405935101E-3</v>
      </c>
      <c r="H1041" s="21"/>
      <c r="I1041" s="21">
        <v>2.4</v>
      </c>
      <c r="J1041" s="111"/>
      <c r="L1041" s="22">
        <v>9.0901915405935101E-3</v>
      </c>
      <c r="M1041" s="111"/>
      <c r="N1041" s="22">
        <v>0.31971845721234898</v>
      </c>
    </row>
  </sheetData>
  <sortState ref="L543:N1038">
    <sortCondition ref="M543:M1038"/>
  </sortState>
  <mergeCells count="17">
    <mergeCell ref="D545:E545"/>
    <mergeCell ref="G541:J543"/>
    <mergeCell ref="L541:N543"/>
    <mergeCell ref="G540:J540"/>
    <mergeCell ref="L540:N540"/>
    <mergeCell ref="A32:D32"/>
    <mergeCell ref="A540:C540"/>
    <mergeCell ref="A538:N538"/>
    <mergeCell ref="A33:D33"/>
    <mergeCell ref="B30:C30"/>
    <mergeCell ref="K13:O14"/>
    <mergeCell ref="C4:G6"/>
    <mergeCell ref="C2:E2"/>
    <mergeCell ref="A8:B8"/>
    <mergeCell ref="A23:C23"/>
    <mergeCell ref="A13:D13"/>
    <mergeCell ref="A17:C17"/>
  </mergeCells>
  <phoneticPr fontId="1"/>
  <pageMargins left="0.7" right="0.7" top="0.75" bottom="0.75" header="0.3" footer="0.3"/>
  <pageSetup paperSize="9" orientation="portrait" horizontalDpi="0" verticalDpi="0" r:id="rId1"/>
  <ignoredErrors>
    <ignoredError sqref="C548:D548 C546:D54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0"/>
  <sheetViews>
    <sheetView workbookViewId="0">
      <selection activeCell="B18" sqref="B18:C18"/>
    </sheetView>
  </sheetViews>
  <sheetFormatPr defaultRowHeight="19.5" x14ac:dyDescent="0.45"/>
  <cols>
    <col min="2" max="2" width="16" customWidth="1"/>
    <col min="3" max="3" width="13.09765625" customWidth="1"/>
    <col min="6" max="6" width="14.8984375" customWidth="1"/>
    <col min="7" max="7" width="29.09765625" style="18" customWidth="1"/>
  </cols>
  <sheetData>
    <row r="3" spans="2:7" ht="27" customHeight="1" x14ac:dyDescent="0.45">
      <c r="B3" s="258" t="s">
        <v>279</v>
      </c>
      <c r="C3" s="259"/>
      <c r="D3" s="259"/>
      <c r="E3" s="10"/>
    </row>
    <row r="4" spans="2:7" x14ac:dyDescent="0.45">
      <c r="B4" s="10"/>
      <c r="C4" s="10"/>
      <c r="D4" s="10"/>
      <c r="E4" s="10"/>
    </row>
    <row r="5" spans="2:7" x14ac:dyDescent="0.45">
      <c r="B5" s="257" t="s">
        <v>278</v>
      </c>
      <c r="C5" s="256"/>
      <c r="D5" s="256"/>
      <c r="E5" s="256"/>
    </row>
    <row r="6" spans="2:7" x14ac:dyDescent="0.45">
      <c r="B6" s="256"/>
      <c r="C6" s="256"/>
      <c r="D6" s="256"/>
      <c r="E6" s="256"/>
    </row>
    <row r="7" spans="2:7" x14ac:dyDescent="0.45">
      <c r="B7" s="256"/>
      <c r="C7" s="256"/>
      <c r="D7" s="256"/>
      <c r="E7" s="256"/>
    </row>
    <row r="9" spans="2:7" x14ac:dyDescent="0.45">
      <c r="C9" s="186" t="s">
        <v>34</v>
      </c>
      <c r="E9" s="270" t="s">
        <v>30</v>
      </c>
      <c r="F9" s="270"/>
      <c r="G9" s="17" t="s">
        <v>35</v>
      </c>
    </row>
    <row r="10" spans="2:7" x14ac:dyDescent="0.45">
      <c r="E10" s="29"/>
      <c r="F10" s="29"/>
    </row>
    <row r="11" spans="2:7" x14ac:dyDescent="0.45">
      <c r="B11" s="12" t="s">
        <v>16</v>
      </c>
      <c r="C11" s="24">
        <v>2.6</v>
      </c>
      <c r="E11" s="271">
        <f>_xlfn.CHISQ.DIST.RT(C11, 2)</f>
        <v>0.27253179303401259</v>
      </c>
      <c r="F11" s="271"/>
      <c r="G11" s="17" t="s">
        <v>264</v>
      </c>
    </row>
    <row r="13" spans="2:7" x14ac:dyDescent="0.45">
      <c r="B13" s="12" t="s">
        <v>17</v>
      </c>
      <c r="C13" s="27">
        <v>0.28205813860000001</v>
      </c>
    </row>
    <row r="14" spans="2:7" x14ac:dyDescent="0.45">
      <c r="B14" s="12" t="s">
        <v>18</v>
      </c>
      <c r="C14" s="28">
        <f>-2*LN(C13)</f>
        <v>2.5312841280898617</v>
      </c>
      <c r="E14" s="272">
        <f>_xlfn.CHISQ.DIST.RT(C14, 2)</f>
        <v>0.28205813860000001</v>
      </c>
      <c r="F14" s="272"/>
      <c r="G14" s="17" t="s">
        <v>265</v>
      </c>
    </row>
    <row r="16" spans="2:7" x14ac:dyDescent="0.45">
      <c r="G16" s="17" t="s">
        <v>36</v>
      </c>
    </row>
    <row r="17" spans="2:7" x14ac:dyDescent="0.45">
      <c r="G17" s="30"/>
    </row>
    <row r="18" spans="2:7" x14ac:dyDescent="0.45">
      <c r="B18" s="268" t="s">
        <v>280</v>
      </c>
      <c r="C18" s="269"/>
    </row>
    <row r="20" spans="2:7" x14ac:dyDescent="0.45">
      <c r="B20" s="17" t="s">
        <v>37</v>
      </c>
      <c r="C20" s="15">
        <f>COMBIN(65,60)</f>
        <v>8259888.0000000009</v>
      </c>
    </row>
  </sheetData>
  <mergeCells count="6">
    <mergeCell ref="B18:C18"/>
    <mergeCell ref="B3:D3"/>
    <mergeCell ref="B5:E7"/>
    <mergeCell ref="E9:F9"/>
    <mergeCell ref="E11:F11"/>
    <mergeCell ref="E14:F1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Ｆ分布</vt:lpstr>
      <vt:lpstr>§6_χ2分布表</vt:lpstr>
      <vt:lpstr>§6_母分散の区間推定</vt:lpstr>
      <vt:lpstr>図7.1</vt:lpstr>
      <vt:lpstr>§7.b_Pr(X≦4)</vt:lpstr>
      <vt:lpstr>表7.2</vt:lpstr>
      <vt:lpstr>§7.e_本文中の表</vt:lpstr>
      <vt:lpstr>§7.e__&amp;_§8.d_正確検定</vt:lpstr>
      <vt:lpstr>§7.f_&amp;_§8.e_近似検定</vt:lpstr>
      <vt:lpstr>図8.2</vt:lpstr>
      <vt:lpstr>§9 可能解の個数</vt:lpstr>
      <vt:lpstr>§10_Fisher</vt:lpstr>
      <vt:lpstr>表10.1_mid_p</vt:lpstr>
      <vt:lpstr>§11_四分表の近似検定</vt:lpstr>
      <vt:lpstr>§11_四分表の近似検定_B</vt:lpstr>
      <vt:lpstr>§11_四分表の正確検定</vt:lpstr>
      <vt:lpstr>表12.1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</dc:creator>
  <cp:lastModifiedBy>Nunami</cp:lastModifiedBy>
  <cp:lastPrinted>2016-02-10T01:26:35Z</cp:lastPrinted>
  <dcterms:created xsi:type="dcterms:W3CDTF">2015-12-31T11:34:48Z</dcterms:created>
  <dcterms:modified xsi:type="dcterms:W3CDTF">2016-10-27T10:44:18Z</dcterms:modified>
</cp:coreProperties>
</file>